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AIS TI\Desktop\"/>
    </mc:Choice>
  </mc:AlternateContent>
  <bookViews>
    <workbookView xWindow="0" yWindow="0" windowWidth="24000" windowHeight="9735"/>
  </bookViews>
  <sheets>
    <sheet name="Orçamento Completo - format (2)" sheetId="21" r:id="rId1"/>
    <sheet name="Planilha2" sheetId="24" r:id="rId2"/>
    <sheet name="Planilha1" sheetId="23" r:id="rId3"/>
  </sheets>
  <definedNames>
    <definedName name="_xlnm._FilterDatabase" localSheetId="0" hidden="1">'Orçamento Completo - format (2)'!$A$1:$I$10</definedName>
    <definedName name="_xlnm.Print_Area" localSheetId="0">'Orçamento Completo - format (2)'!$A$1:$I$94</definedName>
    <definedName name="CONCATENAR" localSheetId="0">CONCATENATE(#REF!," ",#REF!)</definedName>
    <definedName name="CONCATENAR">CONCATENATE(#REF!," ",#REF!)</definedName>
    <definedName name="NCOMPOSICOES">3</definedName>
    <definedName name="NCOTACOES">15</definedName>
    <definedName name="_xlnm.Print_Titles" localSheetId="0">'Orçamento Completo - format (2)'!$1:$8</definedName>
  </definedNames>
  <calcPr calcId="15251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5" i="23" l="1"/>
  <c r="P17" i="23" l="1"/>
  <c r="Y18" i="23"/>
  <c r="G20" i="24"/>
  <c r="H75" i="21"/>
  <c r="I75" i="21" s="1"/>
  <c r="H74" i="21"/>
  <c r="I74" i="21" s="1"/>
  <c r="H73" i="21"/>
  <c r="I73" i="21" s="1"/>
  <c r="H72" i="21"/>
  <c r="I72" i="21" s="1"/>
  <c r="H45" i="21" l="1"/>
  <c r="I45" i="21" s="1"/>
  <c r="H44" i="21"/>
  <c r="I44" i="21" s="1"/>
  <c r="H43" i="21"/>
  <c r="I43" i="21" s="1"/>
  <c r="H42" i="21"/>
  <c r="I42" i="21" s="1"/>
  <c r="H41" i="21"/>
  <c r="I41" i="21" s="1"/>
  <c r="H40" i="21"/>
  <c r="I40" i="21" s="1"/>
  <c r="H39" i="21"/>
  <c r="I39" i="21" s="1"/>
  <c r="Y9" i="23"/>
  <c r="N24" i="23"/>
  <c r="H20" i="21"/>
  <c r="I20" i="21" s="1"/>
  <c r="R12" i="23" l="1"/>
  <c r="K23" i="23"/>
  <c r="O5" i="23"/>
  <c r="I14" i="23"/>
  <c r="N15" i="23"/>
  <c r="V4" i="23"/>
  <c r="X15" i="23"/>
  <c r="N11" i="23"/>
  <c r="K15" i="23"/>
  <c r="F33" i="23"/>
  <c r="F30" i="23"/>
  <c r="F28" i="23"/>
  <c r="F25" i="23"/>
  <c r="N8" i="23"/>
  <c r="F15" i="23"/>
  <c r="F12" i="23"/>
  <c r="F22" i="23"/>
  <c r="F9" i="23"/>
  <c r="W9" i="23"/>
  <c r="I34" i="23"/>
  <c r="I29" i="23"/>
  <c r="I26" i="23"/>
  <c r="I22" i="23"/>
  <c r="S3" i="23"/>
  <c r="W25" i="23" l="1"/>
  <c r="U33" i="23"/>
  <c r="U30" i="23"/>
  <c r="Q8" i="23" l="1"/>
  <c r="U13" i="23"/>
  <c r="U22" i="23"/>
  <c r="U27" i="23"/>
  <c r="N33" i="23"/>
  <c r="L32" i="23"/>
  <c r="L28" i="23"/>
  <c r="G24" i="24"/>
  <c r="F23" i="24"/>
  <c r="G18" i="24"/>
  <c r="G17" i="24"/>
  <c r="G16" i="24"/>
  <c r="G15" i="24"/>
  <c r="U18" i="23"/>
  <c r="T9" i="23"/>
  <c r="R33" i="23"/>
  <c r="S25" i="23"/>
  <c r="R30" i="23"/>
  <c r="S16" i="23"/>
  <c r="P12" i="23"/>
  <c r="Q17" i="23"/>
  <c r="Q21" i="23"/>
  <c r="G14" i="24" l="1"/>
  <c r="G23" i="24"/>
  <c r="G22" i="24"/>
  <c r="G21" i="24"/>
  <c r="G12" i="24"/>
  <c r="G11" i="24"/>
  <c r="G10" i="24"/>
  <c r="G9" i="24"/>
  <c r="O29" i="23"/>
  <c r="G8" i="24" l="1"/>
  <c r="O25" i="23"/>
  <c r="O22" i="23"/>
  <c r="L24" i="23"/>
  <c r="L21" i="23"/>
  <c r="L18" i="23"/>
  <c r="L13" i="23"/>
  <c r="L11" i="23"/>
  <c r="L8" i="23"/>
  <c r="I18" i="23"/>
  <c r="I12" i="23"/>
  <c r="I10" i="23"/>
  <c r="I8" i="23"/>
  <c r="H87" i="21"/>
  <c r="I87" i="21" s="1"/>
  <c r="H84" i="21"/>
  <c r="I84" i="21" s="1"/>
  <c r="H83" i="21"/>
  <c r="I83" i="21" s="1"/>
  <c r="H82" i="21"/>
  <c r="I82" i="21" s="1"/>
  <c r="H81" i="21"/>
  <c r="I81" i="21" s="1"/>
  <c r="H80" i="21"/>
  <c r="I80" i="21" s="1"/>
  <c r="H79" i="21"/>
  <c r="I79" i="21" s="1"/>
  <c r="H78" i="21"/>
  <c r="I78" i="21" s="1"/>
  <c r="H71" i="21"/>
  <c r="I71" i="21" s="1"/>
  <c r="H70" i="21"/>
  <c r="I70" i="21" s="1"/>
  <c r="H69" i="21"/>
  <c r="I69" i="21" s="1"/>
  <c r="H68" i="21"/>
  <c r="I68" i="21" s="1"/>
  <c r="H67" i="21"/>
  <c r="I67" i="21" s="1"/>
  <c r="H66" i="21"/>
  <c r="I66" i="21" s="1"/>
  <c r="H65" i="21"/>
  <c r="I65" i="21" s="1"/>
  <c r="H64" i="21"/>
  <c r="I64" i="21" s="1"/>
  <c r="H63" i="21"/>
  <c r="I63" i="21" s="1"/>
  <c r="H62" i="21"/>
  <c r="I62" i="21" s="1"/>
  <c r="H59" i="21"/>
  <c r="I59" i="21" s="1"/>
  <c r="I58" i="21" s="1"/>
  <c r="H56" i="21"/>
  <c r="I56" i="21" s="1"/>
  <c r="H55" i="21"/>
  <c r="I55" i="21" s="1"/>
  <c r="H54" i="21"/>
  <c r="I54" i="21" s="1"/>
  <c r="H51" i="21"/>
  <c r="I51" i="21" s="1"/>
  <c r="H50" i="21"/>
  <c r="I50" i="21" s="1"/>
  <c r="H49" i="21"/>
  <c r="I49" i="21" s="1"/>
  <c r="H48" i="21"/>
  <c r="I48" i="21" s="1"/>
  <c r="H38" i="21"/>
  <c r="I38" i="21" s="1"/>
  <c r="H37" i="21"/>
  <c r="I37" i="21" s="1"/>
  <c r="H36" i="21"/>
  <c r="I36" i="21" s="1"/>
  <c r="H35" i="21"/>
  <c r="I35" i="21" s="1"/>
  <c r="H34" i="21"/>
  <c r="I34" i="21" s="1"/>
  <c r="H33" i="21"/>
  <c r="I33" i="21" s="1"/>
  <c r="H32" i="21"/>
  <c r="I32" i="21" s="1"/>
  <c r="H29" i="21"/>
  <c r="I29" i="21" s="1"/>
  <c r="H28" i="21"/>
  <c r="I28" i="21" s="1"/>
  <c r="H27" i="21"/>
  <c r="I27" i="21" s="1"/>
  <c r="H26" i="21"/>
  <c r="I26" i="21" s="1"/>
  <c r="H25" i="21"/>
  <c r="I25" i="21" s="1"/>
  <c r="H24" i="21"/>
  <c r="I24" i="21" s="1"/>
  <c r="H23" i="21"/>
  <c r="I23" i="21" s="1"/>
  <c r="H19" i="21"/>
  <c r="I19" i="21" s="1"/>
  <c r="H18" i="21"/>
  <c r="I18" i="21" s="1"/>
  <c r="H17" i="21"/>
  <c r="I17" i="21" s="1"/>
  <c r="H16" i="21"/>
  <c r="I16" i="21" s="1"/>
  <c r="H15" i="21"/>
  <c r="I15" i="21" s="1"/>
  <c r="H14" i="21"/>
  <c r="I14" i="21" s="1"/>
  <c r="H13" i="21"/>
  <c r="I13" i="21" s="1"/>
  <c r="H10" i="21"/>
  <c r="I10" i="21" s="1"/>
  <c r="I77" i="21" l="1"/>
  <c r="I61" i="21"/>
  <c r="I31" i="21"/>
  <c r="I12" i="21"/>
  <c r="I53" i="21"/>
  <c r="I47" i="21"/>
  <c r="I9" i="21"/>
  <c r="I22" i="21"/>
  <c r="I86" i="21"/>
  <c r="I88" i="21" l="1"/>
</calcChain>
</file>

<file path=xl/sharedStrings.xml><?xml version="1.0" encoding="utf-8"?>
<sst xmlns="http://schemas.openxmlformats.org/spreadsheetml/2006/main" count="421" uniqueCount="261">
  <si>
    <t>CÓDIGO</t>
  </si>
  <si>
    <t>UNIDADE</t>
  </si>
  <si>
    <t>VÁLVULA PARA LAVATÓRIO COM LADRÃO D = 2 1/4" X 1"</t>
  </si>
  <si>
    <t>SERVENTE COM ENCARGOS COMPLEMENTARES</t>
  </si>
  <si>
    <t>PEDREIRO COM ENCARGOS COMPLEMENTARES</t>
  </si>
  <si>
    <t>UN</t>
  </si>
  <si>
    <t>1.1</t>
  </si>
  <si>
    <t>FORMA DE EXECUÇÃO</t>
  </si>
  <si>
    <t>(    )</t>
  </si>
  <si>
    <t>DIRETA</t>
  </si>
  <si>
    <t>Indireta</t>
  </si>
  <si>
    <t>UNID</t>
  </si>
  <si>
    <t>QUANTIDADE</t>
  </si>
  <si>
    <t>PREÇO TOTAL</t>
  </si>
  <si>
    <t>TOTAL DO SUBITEM</t>
  </si>
  <si>
    <t>TOTAL</t>
  </si>
  <si>
    <t>SETOP</t>
  </si>
  <si>
    <t>U</t>
  </si>
  <si>
    <t>(  x  )</t>
  </si>
  <si>
    <t>ED-48421</t>
  </si>
  <si>
    <t>ED-48501</t>
  </si>
  <si>
    <t>ED-48438</t>
  </si>
  <si>
    <t>ED-48469</t>
  </si>
  <si>
    <t>ED-48506</t>
  </si>
  <si>
    <t>ED-48514</t>
  </si>
  <si>
    <t>ED-49405</t>
  </si>
  <si>
    <t>ED-49602</t>
  </si>
  <si>
    <t>ED-49603</t>
  </si>
  <si>
    <t>ED-49614</t>
  </si>
  <si>
    <t>ED-50223</t>
  </si>
  <si>
    <t>ED-50227</t>
  </si>
  <si>
    <t>ED-50325</t>
  </si>
  <si>
    <t>ED-50347</t>
  </si>
  <si>
    <t>ED-50381</t>
  </si>
  <si>
    <t>ED-50367</t>
  </si>
  <si>
    <t>VIDRACEIRO COM ENCARGOS COMPLEMENTARES</t>
  </si>
  <si>
    <t>ED-50505</t>
  </si>
  <si>
    <t>LIXAMENTO MANUAL EM PAREDE PARA REMOÇÃO DE TINTA</t>
  </si>
  <si>
    <t>ED-50507</t>
  </si>
  <si>
    <t>LIXAMENTO MANUAL EM SUPERFÍCIE DE MADEIRA PARA REMOÇÃO DE TINTA</t>
  </si>
  <si>
    <t>ED-50506</t>
  </si>
  <si>
    <t>LIXAMENTO MANUAL EM TETO PARA REMOÇÃO DE TINTA</t>
  </si>
  <si>
    <t>ED-50451</t>
  </si>
  <si>
    <t>PINTURA ACRÍLICA EM PAREDE, DUAS (2) DEMÃOS, EXCLUSIVE SELADOR ACRÍLICO E MASSA ACRÍLICA/CORRIDA (PVA)</t>
  </si>
  <si>
    <t>ED-50452</t>
  </si>
  <si>
    <t>PINTURA ACRÍLICA EM TETO, DUAS (2) DEMÃOS, EXCLUSIVE SELADOR ACRÍLICO E MASSA ACRÍLICA/CORRIDA (PVA)</t>
  </si>
  <si>
    <t>ED-9013</t>
  </si>
  <si>
    <t>PINTURA COM TEXTURA ACRÍLICA COM DESEMPENADEIRA DE AÇO, EXCLUSIVE SELADOR ACRÍLICO/FUNDO PREPARADOR</t>
  </si>
  <si>
    <t>ED-50497</t>
  </si>
  <si>
    <t>PINTURA ESMALTE EM ESTRUTURA METÁLICA, DUAS (2) DEMÃOS, INCLUSIVE UMA (1) DEMÃO FUNDO ANTICORROSIVO</t>
  </si>
  <si>
    <t>ED-50514</t>
  </si>
  <si>
    <t>PREPARAÇÃO PARA EMASSAMENTO OU PINTURA (LÁTEX/ACRÍLICA) EM PAREDE, INCLUSIVE UMA (1) DEMÃO DE SELADOR ACRÍLICO</t>
  </si>
  <si>
    <t>ED-50515</t>
  </si>
  <si>
    <t>PREPARAÇÃO PARA EMASSAMENTO OU PINTURA (LÁTEX/ACRÍLICA) EM TETO, INCLUSIVE UMA (1) DEMÃO DE SELADOR ACRÍLICO</t>
  </si>
  <si>
    <t>ED-50677</t>
  </si>
  <si>
    <t>ED-50727</t>
  </si>
  <si>
    <t>ED-50728</t>
  </si>
  <si>
    <t>ED-50761</t>
  </si>
  <si>
    <t>ED-9081</t>
  </si>
  <si>
    <t>REVESTIMENTO COM CERÂMICA APLICADO EM PAREDE, ACABAMENTO ESMALTADO, AMBIENTE INTERNO/EXTERNO, PADRÃO EXTRA, DIMENSÃO DA PEÇA ATÉ 2025 CM2, PEI III, ASSENTAMENTO COM ARGAMASSA INDUSTRIALIZADA, INCLUSIVE REJUNTAMENTO</t>
  </si>
  <si>
    <t>SERVIÇOS PRELIMINARES</t>
  </si>
  <si>
    <t>LUMINÁRIA ARANDELA TIPO TARTARUGA BLINDADA COMPLETA, PARA UMA (1) LÂMPADA FLUORESCENTE COMPACTA 20W, FORNECIMENTO E INSTALAÇÃO, INCLUSIVE BASE E LÂMPADA</t>
  </si>
  <si>
    <t>BDI</t>
  </si>
  <si>
    <t>PREÇO UNIT C/ BDI</t>
  </si>
  <si>
    <t>PREÇO UNIT S/ BDI</t>
  </si>
  <si>
    <t>INSTALAÇÕES ELÉTRICAS</t>
  </si>
  <si>
    <t>SERVIÇOS COMPLEMENTARES</t>
  </si>
  <si>
    <t>FONTE</t>
  </si>
  <si>
    <t>DESCRIÇÃO</t>
  </si>
  <si>
    <r>
      <t xml:space="preserve">ISS DO MUNICÍPIO: </t>
    </r>
    <r>
      <rPr>
        <sz val="12"/>
        <rFont val="Arial"/>
        <family val="2"/>
      </rPr>
      <t>3%</t>
    </r>
  </si>
  <si>
    <t>SINAPI</t>
  </si>
  <si>
    <t>SINAPI-I</t>
  </si>
  <si>
    <t>ITEM</t>
  </si>
  <si>
    <t>DESCRIÇÃO DO ITEM</t>
  </si>
  <si>
    <t>COMPOSIÇÕES</t>
  </si>
  <si>
    <t>COEF.</t>
  </si>
  <si>
    <t>CUSTO UNI.</t>
  </si>
  <si>
    <t>COMPOSIÇÃO</t>
  </si>
  <si>
    <t>COMPOS-001</t>
  </si>
  <si>
    <t>TORNEIRA METÁLICA PARA PIA, BICA MÓVEL, ABERTURA 1/4 DE VOLTA, ACABAMENTO CROMADO, COM AREJADOR, APLICAÇÃO DE PAREDE, INCLUSIVE FORNECIMENTO E INSTALAÇÃO</t>
  </si>
  <si>
    <t>CUSTO TOTAL</t>
  </si>
  <si>
    <t>m2</t>
  </si>
  <si>
    <t>m</t>
  </si>
  <si>
    <t>m3</t>
  </si>
  <si>
    <t>un</t>
  </si>
  <si>
    <t>INSTALAÇÕES HIDROSSANITÁRIAS</t>
  </si>
  <si>
    <t>hora</t>
  </si>
  <si>
    <t/>
  </si>
  <si>
    <t xml:space="preserve">UN    </t>
  </si>
  <si>
    <t xml:space="preserve">CJ    </t>
  </si>
  <si>
    <t>M</t>
  </si>
  <si>
    <t>M2</t>
  </si>
  <si>
    <t>H</t>
  </si>
  <si>
    <t>CALHA EM CHAPA DE AÇO GALVANIZADO NÚMERO 24, DESENVOLVIMENTO DE 100 CM, INCLUSO TRANSPORTE VERTICAL. AF_07/2019</t>
  </si>
  <si>
    <t>FECHADURA DE EMBUTIR COM CILINDRO, EXTERNA, COMPLETA, ACABAMENTO PADRÃO POPULAR, INCLUSO EXECUÇÃO DE FURO - FORNECIMENTO E INSTALAÇÃO. AF_12/2019</t>
  </si>
  <si>
    <t>PORTA DE ALUMÍNIO DE ABRIR COM LAMBRI, COM GUARNIÇÃO, FIXAÇÃO COM PARAFUSOS - FORNECIMENTO E INSTALAÇÃO. AF_12/2019</t>
  </si>
  <si>
    <t>REMOÇÃO DE CALHA EM CHAPA GALVANIZADA OU EM PVC, COM REAPROVEITAMENTO, INCLUSIVE AFASTAMENTO E EMPILHAMENTO, EXCLUSIVE TRANSPORTE E RETIRADA DO MATERIAL REMOVIDO NÃO REAPROVEITÁVEL</t>
  </si>
  <si>
    <t>REMOÇÃO MANUAL DE TELHA CERÂMICA, COM REAPROVEITAMENTO, INCLUSIVE AFASTAMENTO E EMPILHAMENTO, EXCLUSIVE TRANSPORTE E RETIRADA DO MATERIAL REMOVIDO NÃO REAPROVEITÁVEL</t>
  </si>
  <si>
    <t>REMOÇÃO MANUAL DE LUMINÁRIA COMPACTA (PLAFON, PAINEL LED, ETC.) EMBUTIDA OU SOBREPOR, COM REAPROVEITAMENTO, INCLUSIVE AFASTAMENTO E EMPILHAMENTO, EXCLUSIVE TRANSPORTE E RETIRADA DO MATERIAL REMOVIDO NÃO REAPROVEITÁVEL</t>
  </si>
  <si>
    <t>ED-28427</t>
  </si>
  <si>
    <t>RUFO E CONTRARRUFO EM CHAPA GALVANIZADA, ESP. 0,65MM (GSG-24), COM DESENVOLVIMENTO DE 25CM, INCLUSIVE IÇAMENTO MANUAL VERTICAL</t>
  </si>
  <si>
    <t>ED-28438</t>
  </si>
  <si>
    <t>PINTURA ESMALTE EM SUPERFÍCIE DE MADEIRA, DUAS (2) DEMÃOS, EXCLUSIVE FUNDO NIVELADOR E MASSA A ÓLEO</t>
  </si>
  <si>
    <t>FORNECIMENTO DE CONCRETO NÃO ESTRUTURAL, PREPARADO EM OBRA COM BETONEIRA, COM FCK 10MPA, INCLUSIVE LANÇAMENTO, ADENSAMENTO E ACABAMENTO</t>
  </si>
  <si>
    <t>CHAPISCO COM ARGAMASSA, TRAÇO 1:3 (CIMENTO E AREIA), ESP. 5MM, APLICADO EM TETO COM COLHER, INCLUSIVE ARGAMASSA COM PREPARO MECANIZADO</t>
  </si>
  <si>
    <t>REBOCO COM ARGAMASSA, TRAÇO 1:2:8 (CIMENTO, CAL E AREIA), ESP. 20MM, APLICAÇÃO MANUAL, INCLUSIVE ARGAMASSA COM PREPARO MECANIZADO, EXCLUSIVE CHAPISCO</t>
  </si>
  <si>
    <t>PORTA DE MADEIRA COMPLETA, DIMENSÃO (90X210)CM, TIPO DE ABRIR, UMA (1) FOLHA, ACABAMENTO NATURAL PARA PINTURA/VERNIZ, TIPO PRANCHETA/SARRAFEADA, INCLUSIVE MARCO, ALIZAR E FERRAGENS, EXCLUSIVE PINTURA/VERNIZ</t>
  </si>
  <si>
    <t>COBERTURA EM TELHA CERÂMICA, TIPO COLONIAL, INCLUSIVE FIXAÇÃO, EXCLUSIVE ENGRADAMENTO E MANTA ISOLANTE/TÉRMICA</t>
  </si>
  <si>
    <r>
      <t xml:space="preserve">CONTRATANTE: </t>
    </r>
    <r>
      <rPr>
        <sz val="12"/>
        <rFont val="Arial"/>
        <family val="2"/>
      </rPr>
      <t>MUNICÍPIO DE MUTUM - MG</t>
    </r>
  </si>
  <si>
    <t>ENGENHEIRO CIVIL</t>
  </si>
  <si>
    <t>2</t>
  </si>
  <si>
    <t>2.1</t>
  </si>
  <si>
    <t>2.2</t>
  </si>
  <si>
    <t>2.3</t>
  </si>
  <si>
    <t>2.4</t>
  </si>
  <si>
    <t>2.5</t>
  </si>
  <si>
    <t>2.6</t>
  </si>
  <si>
    <t>2.7</t>
  </si>
  <si>
    <t>3</t>
  </si>
  <si>
    <t>3.1</t>
  </si>
  <si>
    <t>3.2</t>
  </si>
  <si>
    <t>3.3</t>
  </si>
  <si>
    <t>3.4</t>
  </si>
  <si>
    <t>3.5</t>
  </si>
  <si>
    <t>3.6</t>
  </si>
  <si>
    <t>3.7</t>
  </si>
  <si>
    <t>4</t>
  </si>
  <si>
    <t>4.1</t>
  </si>
  <si>
    <t>4.2</t>
  </si>
  <si>
    <t>4.3</t>
  </si>
  <si>
    <t>4.4</t>
  </si>
  <si>
    <t>4.5</t>
  </si>
  <si>
    <t>4.6</t>
  </si>
  <si>
    <t>4.7</t>
  </si>
  <si>
    <t>5</t>
  </si>
  <si>
    <t>5.1</t>
  </si>
  <si>
    <t>5.2</t>
  </si>
  <si>
    <t>5.3</t>
  </si>
  <si>
    <t>5.4</t>
  </si>
  <si>
    <t>6</t>
  </si>
  <si>
    <t>6.1</t>
  </si>
  <si>
    <t>6.2</t>
  </si>
  <si>
    <t>6.3</t>
  </si>
  <si>
    <t>7</t>
  </si>
  <si>
    <t>7.1</t>
  </si>
  <si>
    <t xml:space="preserve">CONJ. DE FERRAGENS PARA PORTA DE VIDRO TEMPERADO, EM ZAMAC CROMADO, CONTEMPLANDO DOBRADICA INF., DOBRADICA SUP., PIVO PARA DOBRADICA INF., PIVO PARA DOBRADICA SUP., FECHADURA CENTRAL EM ZAMC. CROMADO, CONTRA FECHADURA DE PRESSAO                                                                                                                                                                                                                                                                      </t>
  </si>
  <si>
    <t xml:space="preserve">MOLA HIDRAULICA DE PISO, PARA PORTAS DE ATE 1100 MM E PESO DE ATE 120 KG, COM CORPO EM ACO INOX                                                                                                                                                                                                                                                                                                                                                                                                           </t>
  </si>
  <si>
    <r>
      <t xml:space="preserve">PRAZO DE EXECUÇÃO: </t>
    </r>
    <r>
      <rPr>
        <sz val="12"/>
        <rFont val="Arial"/>
        <family val="2"/>
      </rPr>
      <t>90 DIAS</t>
    </r>
  </si>
  <si>
    <t>REMOÇÕES E DEMOLIÇÕES</t>
  </si>
  <si>
    <t>REVESTIMENTO PAREDES E TETO</t>
  </si>
  <si>
    <t>COBERTURA</t>
  </si>
  <si>
    <t>REVESTIMENTO PISO</t>
  </si>
  <si>
    <t>8</t>
  </si>
  <si>
    <t>8.1</t>
  </si>
  <si>
    <t>8.2</t>
  </si>
  <si>
    <t>8.3</t>
  </si>
  <si>
    <t>8.4</t>
  </si>
  <si>
    <t>8.5</t>
  </si>
  <si>
    <t>8.6</t>
  </si>
  <si>
    <t>8.7</t>
  </si>
  <si>
    <t>9</t>
  </si>
  <si>
    <t>9.1</t>
  </si>
  <si>
    <t>9.2</t>
  </si>
  <si>
    <t>9.3</t>
  </si>
  <si>
    <t>9.4</t>
  </si>
  <si>
    <t>9.5</t>
  </si>
  <si>
    <t>9.6</t>
  </si>
  <si>
    <t>9.7</t>
  </si>
  <si>
    <t>10</t>
  </si>
  <si>
    <t>10.1</t>
  </si>
  <si>
    <t>ESQUADRIAS</t>
  </si>
  <si>
    <t>8.8</t>
  </si>
  <si>
    <t>8.9</t>
  </si>
  <si>
    <t>8.10</t>
  </si>
  <si>
    <t xml:space="preserve">REASSENTAMENTO DE PORTA DE ABRIR COM MOLA HIDRÁULICA, EM VIDRO TEMPERADO, 2 FOLHAS DE 90X210CM, ESPESSURA DD 10MM, INCLUSIVE ACESSÓRIOS. AF_01/2021 </t>
  </si>
  <si>
    <t>PINTURA PAREDES E TETO</t>
  </si>
  <si>
    <t>PLANILHA ORÇAMENTÁRIA DE CUSTOS</t>
  </si>
  <si>
    <t>COMPOS-002</t>
  </si>
  <si>
    <t>COBERTURA DE FECHAMENTO EM POLICARBONATO 6,00 MM, INCLUSO FORNECIMENTO E INSTALAÇÃO</t>
  </si>
  <si>
    <t>COTAÇÃO</t>
  </si>
  <si>
    <t>CHAPA DE POLICARBONATO ALVEOLAR 6 MM</t>
  </si>
  <si>
    <r>
      <rPr>
        <b/>
        <sz val="11"/>
        <color theme="1"/>
        <rFont val="Calibri"/>
        <family val="2"/>
        <scheme val="minor"/>
      </rPr>
      <t>OBRA:</t>
    </r>
    <r>
      <rPr>
        <sz val="11"/>
        <color theme="1"/>
        <rFont val="Calibri"/>
        <family val="2"/>
        <scheme val="minor"/>
      </rPr>
      <t xml:space="preserve"> PEQUENOS REPAROS E ADEQUAÇÕES NA UNIDADE BÁSICA DE SAÚDE - PSF DISTRITO DE IMBIRUÇU</t>
    </r>
  </si>
  <si>
    <r>
      <t xml:space="preserve">ENDEREÇO: </t>
    </r>
    <r>
      <rPr>
        <sz val="11"/>
        <color theme="1"/>
        <rFont val="Calibri"/>
        <family val="2"/>
        <scheme val="minor"/>
      </rPr>
      <t>RUA TARCIZO FIDELIS, S/N DISTRITO DE IMBIRUÇU, MUTUM - MG</t>
    </r>
  </si>
  <si>
    <t>REASSENTAMENTO LAVATÓRIO LOUÇA BRANCA COM COLUNA FORNECIMENTO E INSTALAÇÃO. AF_01/2020</t>
  </si>
  <si>
    <t xml:space="preserve">PARAFUSO NIQUELADO 3 1/2" COM ACABAMENTO CROMADO PARA FIXAR PECA SANITARIA, INCLUI PORCA CEGA, ARRUELA E BUCHA DE NYLON TAMANHO S-8                                                                                                                                                                                                                                                                  </t>
  </si>
  <si>
    <t>REJUNTE EPOXI, QUALQUER COR</t>
  </si>
  <si>
    <t>KG</t>
  </si>
  <si>
    <t>ENCANADOR OU BOMBEIRO HIDRÁULICO COM ENCARGOS COMPLEMENTARES</t>
  </si>
  <si>
    <t>SILICONE ACETICO USO GERAL INCOLOR 280 G</t>
  </si>
  <si>
    <t>um</t>
  </si>
  <si>
    <t>COMPOS-003</t>
  </si>
  <si>
    <t>LEANDRO DE SOUZA COSTA</t>
  </si>
  <si>
    <t>CREA-ES 037.338/D</t>
  </si>
  <si>
    <r>
      <t xml:space="preserve">OBRA: </t>
    </r>
    <r>
      <rPr>
        <sz val="12"/>
        <rFont val="Arial"/>
        <family val="2"/>
      </rPr>
      <t>PEQUENOS REPAROS E ADEQUAÇÕES NA UNIDADE BÁSICA DE SAÚDE - PSF DISTRITO DE IMBIRUÇU</t>
    </r>
  </si>
  <si>
    <r>
      <t xml:space="preserve">ENDEREÇO: </t>
    </r>
    <r>
      <rPr>
        <sz val="12"/>
        <rFont val="Arial"/>
        <family val="2"/>
      </rPr>
      <t>RUA TARCIZO FIDELIS, S/N DISTRITO DE IMBIRUÇU, MUTUM - MG</t>
    </r>
  </si>
  <si>
    <r>
      <rPr>
        <b/>
        <sz val="12"/>
        <rFont val="Arial"/>
        <family val="2"/>
      </rPr>
      <t>PREÇO DE CUSTO:</t>
    </r>
    <r>
      <rPr>
        <sz val="12"/>
        <rFont val="Arial"/>
        <family val="2"/>
      </rPr>
      <t xml:space="preserve"> SETOP - SEM DESONERAÇÃO FISCAL, REGIÃO LESTE, ABRIL/2024 | SINAPI 08/2024 - NÃO DESONERADO</t>
    </r>
  </si>
  <si>
    <r>
      <t xml:space="preserve">RESPONSÁVEL TÉCNICO: </t>
    </r>
    <r>
      <rPr>
        <sz val="12"/>
        <rFont val="Arial"/>
        <family val="2"/>
      </rPr>
      <t>LEANDRO DE SOUZA COSTA; CREA-ES 037.338/D</t>
    </r>
  </si>
  <si>
    <t>DEMOLIÇÃO MANUAL DE REBOCO OU EMBOÇO, COM ESPESSURA
DE ATÉ 55MM, INCLUSIVE AFASTAMENTO E EMPILHAMENTO,
EXCLUSIVE TRANSPORTE E RETIRADA DO MATERIAL DEMOLIDO</t>
  </si>
  <si>
    <t>REMOÇÃO MANUAL DE RUFO METÁLICO, COM REAPROVEITAMENTO, INCLUSIVE AFASTAMENTO E EMPILHAMENTO, EXCLUSIVE TRANSPORTE E RETIRADA DO
MATERIAL REMOVIDO NÃO REAPROVEITÁVEL</t>
  </si>
  <si>
    <t>DEMOLIÇÃO MANUAL DE CONSTRUÇÃO EM ALVENARIAS DE VEDAÇÃO, COM ESPESSURA MÁXIMA DE 15CM, INCLUSIVE REMOÇÃO COM REAPROVEITAMENTO DE ESQUADRIAS, AFASTAMENTO E EMPILHAMENTO, EXCLUSIVE TRANSPORTE E
RETIRADA DO MATERIAL DEMOLIDO/REMOVIDO NÃO REAPROVEITÁVEL</t>
  </si>
  <si>
    <t>ED-28338</t>
  </si>
  <si>
    <t>DEMOLIÇÃO MANUAL DE FORRO DE CHAPA OU PLACA DE GESSO, INCLUSIVE DEMOLIÇÃO DA ESTRUTURA DE SUSTENTAÇÃO, AFASTAMENTO E EMPILHAMENTO, EXCLUSIVE TRANSPORTE E RETIRADA DO MATERIAL DEMOLIDO</t>
  </si>
  <si>
    <t>ED-48463</t>
  </si>
  <si>
    <t>2.8</t>
  </si>
  <si>
    <t>CHAPISCO COM ARGAMASSA, TRAÇO 1:3 (CIMENTO E AREIA), ESP. 5MM, APLICADO EM ALVENARIA/ESTRUTURA DE CONCRETOCOM COLHER, INCLUSIVE ARGAMASSA COM PREPARO MECANIZADO</t>
  </si>
  <si>
    <t>EMASSAMENTO EM FORRO DE GESSO COM MASSA CORRIDA (PVA), UMA (1) DEMÃO, INCLUSIVE LIXAMENTO PARA PINTURA</t>
  </si>
  <si>
    <t>ED-50486</t>
  </si>
  <si>
    <t>FORRO EM PLACA DE GESSO LISO, DIMENSÃO (60X60)CM, COM FIXAÇÃO DO TIPO ARAMADO, EXCLUSIVE PERFIL TABICA, SANCA E MOLDURA, INCLUSIVE ACESSÓRIOS E FIXAÇÃO</t>
  </si>
  <si>
    <t>ED-49685</t>
  </si>
  <si>
    <t>ED-50477</t>
  </si>
  <si>
    <t>EMASSAMENTO EM PAREDE COM MASSA CORRIDA (PVA), UMA (1) DEMÃO, INCLUSIVE LIXAMENTO PARA PINTURA</t>
  </si>
  <si>
    <t>PONTO DE EMBUTIR PARA ESGOTO EM TUBO PVC RÍGIDO, PB - SÉRIE NORMAL, DN 40MM (1.1/2"), EMBUTIDO NA ALVENARIA/PISO, COM ALTURA (SAÍDA) DE 50CM DO PISO, COM DISTÂNCIA DE ATÉ CINCO (5) METROS DO RAMAL DE ESGOTO, EXCLUSIVE ESCAVAÇÃO, INCLUSIVE CONEXÕES E FIXAÇÃO DO TUBO COM
ENCHIMENTO DO RASGO NA ALVENARIA/CONCRETO COM ARGAMASSA</t>
  </si>
  <si>
    <t>TORNEIRA METÁLICA PARA LAVATÓRIO, ABERTURA 1/4 DE VOLTA, ACABAMENTO CROMADO, COM AREJADOR, APLICAÇÃO DE MESA , INCLUSIVE ENGATE FLEXÍVEL METÁLICO, FORNECIMENTO E INSTALAÇÃO</t>
  </si>
  <si>
    <t>ED-50330</t>
  </si>
  <si>
    <t>ED-48343</t>
  </si>
  <si>
    <t>TORNEIRA METÁLICA PARA PIA, ABERTURA 1/4 DE VOLTA, ACABAMENTO CROMADO, COM AREJADOR, APLICAÇÃO DE PAREDE, INCLUSIVE FORNECIMENTO E INSTALAÇÃO</t>
  </si>
  <si>
    <t>ED-50326</t>
  </si>
  <si>
    <t>BANCADA EM GRANITO CINZA ANDORINHA E = 3 CM, APOIADA EM CONSOLE DE METALON 20 X 30 MM</t>
  </si>
  <si>
    <t>GRELHA EM FERRO FUNDIDO COM CAIXILHO, DIMENSÃO (15X15) CM, INCLUSIVE ASSENTAMENTO DE CAIXILHO, EXCLUSIVE CAIXA COLETORA</t>
  </si>
  <si>
    <t>ED-49943</t>
  </si>
  <si>
    <t>VÁLVULA DE DESCARGA COM REGISTRO INTERNO, ACIONAMENTO SIMPLES, DN 1.1/2" (50MM), INCLUSIVE ACABAMENTO DA VÁLVULA</t>
  </si>
  <si>
    <t>ED-50337</t>
  </si>
  <si>
    <t>ACABAMENTO DE METAL CROMADO PARA REGISTRO PEQUENO, DE PAREDE, 1/2" OU 3/4"</t>
  </si>
  <si>
    <t>ACABAMENTO (APLICAÇÃO: CAIXA DE DESCARGA DE EMBUTIR|ACIONAMENTO: DUPLO|COR: BRANCA|MATERIAL: PLÁSTICO|ACESSÓRIOS: INCLUSO)</t>
  </si>
  <si>
    <t>MATED-32198</t>
  </si>
  <si>
    <t>SIFÃO DO TIPO FLEXÍVEL EM PVC 1 X 1.1/2 - FORNECIMENTO E INSTALAÇÃO. AF_01/2020</t>
  </si>
  <si>
    <t>PAPELEIRA DE PAREDE EM METAL CROMADO SEM TAMPA</t>
  </si>
  <si>
    <t>ASSENTO SANITARIO DE PLASTICO, TIPO CONVENCIONAL</t>
  </si>
  <si>
    <t>4.8</t>
  </si>
  <si>
    <t>4.9</t>
  </si>
  <si>
    <t>4.10</t>
  </si>
  <si>
    <t>4.11</t>
  </si>
  <si>
    <t>4.12</t>
  </si>
  <si>
    <t>4.13</t>
  </si>
  <si>
    <t>4.14</t>
  </si>
  <si>
    <t>PONTO DE EMBUTIR PARA UM (1) INTERRUPTOR SIMPLES (10A-250V), COM PLACA 4"X2" DE UM (1) POSTO, COM ELETRODUTO FLEXÍVEL CORRUGADO, ANTI-CHAMA, DN 25MM (3/4"), EMBUTIDO NA ALVENARIA E CABO DE COBRE FLEXÍVEL, CLASSE 5,
ISOLAMENTO TIPO LSHF/ATOX, NÃO HALOGENADO, SEÇÃO 1, 5MM2 (70°C-450/750V), COM DISTÂNCIA DE ATÉ DEZ (10) METROS DO PONTO DE DERIVAÇÃO, INCLUSIVE CAIXA DE LIGAÇÃO, SUPORTE E FIXAÇÃO DO ELETRODUTO COM ENCHIMENTO DO RASGO NA ALVENARIA/CONCRETO COM ARGAMASSA</t>
  </si>
  <si>
    <t>PONTO DE EMBUTIR PARA UMA (1) TOMADA PADRÃO, TRÊS (3) POLOS (2P+T/10A-250V), COM PLACA 4"X2" DE UM (1) POSTO, COM ELETRODUTO FLEXÍVEL CORRUGADO, ANTI-CHAMA, DN 25MM (3/4"), EMBUTIDO NA ALVENARIA E CABO DE COBRE FLEXÍVEL,CLASSE 5, ISOLAMENTO TIPO LSHF/ATOX, NÃO HALOGENADO,
SEÇÃO 2,5MM2 (70°C-450/750V), COM DISTÂNCIA DE ATÉ DEZ (10) METROS DO PONTO DE DERIVAÇÃO, INCLUSIVE CAIXA DE LIGAÇÃO, SUPORTE E FIXAÇÃO DO ELETRODUTO COM ENCHIMENTO DO RASGO NA ALVENARIA/CONCRETO COM
ARGAMASSA</t>
  </si>
  <si>
    <t>ED-50232</t>
  </si>
  <si>
    <t>LUMINÁRIA TIPO PLAFON CIRCULAR, DE SOBREPOR, COM LED DE 12/13 W - FORNECIMENTO E INSTALAÇÃO. AF_03/2022</t>
  </si>
  <si>
    <t>LIXAMENTO MANUAL EM SUPERFÍCIE METÁLICA PARA REMOÇÃO DE TINTA</t>
  </si>
  <si>
    <t>ED-50508</t>
  </si>
  <si>
    <t>PORTA DE MADEIRA COMPLETA, DIMENSÃO (80X210)CM, TIPO DE ABRIR, UMA (1) FOLHA, ACABAMENTO NATURAL PARA PINTURA/ VERNIZ, TIPO PRANCHETA/SARRAFEADA, INCLUSIVE MARCO, ALIZAR E FERRAGENS, EXCLUSIVE PINTURA/VERNIZ</t>
  </si>
  <si>
    <t>FECHO PARA ABERTURA DE JANELA MAXIM-AR (REFERÊNCIA: FEC-009)</t>
  </si>
  <si>
    <t>MATED-29259</t>
  </si>
  <si>
    <t>MACANETA ALAVANCA, RETA SIMPLES / OCA, CROMADA, COMPRIMENTO DE 10 A 16 CM, ACABAMENTO PADRAO POPULAR - SOMENTE MACANETAS</t>
  </si>
  <si>
    <t>PAR</t>
  </si>
  <si>
    <t>JANELA DE ALUMÍNIO TIPO MAXIM-AR, COM VIDROS, BATENTE E FERRAGENS. EXCLUSIVE ALIZAR, ACABAMENTO E CONTRAMARCO. FORNECIMENTO E INSTALAÇÃO. AF_12/2019</t>
  </si>
  <si>
    <t>CONTRAMARCO DE ALUMÍNIO, FIXAÇÃO COM ARGAMASSA - FORNECIMENTO E INSTALAÇÃO. AF_12/2019</t>
  </si>
  <si>
    <t>8.11</t>
  </si>
  <si>
    <t>8.12</t>
  </si>
  <si>
    <t>8.13</t>
  </si>
  <si>
    <t>8.14</t>
  </si>
  <si>
    <t>REASSENTAMENTO DE PORTA DE ABRIR COM MOLA HIDRÁULICA, EM VIDRO TEMPERADO, 2 FOLHAS DE 90X210CM, ESPESSURA DD 10MM, INCLUSIVE ACESSÓRIOS. AF_01/2021</t>
  </si>
  <si>
    <t>TAMPA DE CONCRETO PARA CAIXA DE INSPEÇÃO EM ALVENARIA E = 8 CM</t>
  </si>
  <si>
    <t>ED-48333</t>
  </si>
  <si>
    <t xml:space="preserve">LEANDRO DE SOUZA COSTA </t>
  </si>
  <si>
    <t>FOLHAS: 5</t>
  </si>
  <si>
    <t>FORNECIMENTO E COLOCAÇÃO DE PLACA DE OBRA EM CHAPA GALVANIZADA #26, ESP. 0,45MM, DIMENSÃO (3X1,5)M, PLOTADA COM ADESIVO VINÍLICO, AFIXADA COM REBITES 4,8X40MM, EM ESTRUTURA METÁLICA DE METALON 20X20MM, ESP. 1,25MM, INCLUSIVE SUPORTE EM EUCALIPTO AUTOCLAVADO PINTADO COM TINTA PVA DUAS (2) DEMÃOS</t>
  </si>
  <si>
    <r>
      <t xml:space="preserve">DATA: </t>
    </r>
    <r>
      <rPr>
        <sz val="12"/>
        <rFont val="Arial"/>
        <family val="2"/>
      </rPr>
      <t>04/09/2024</t>
    </r>
  </si>
  <si>
    <t>REMOÇÃO MANUAL DE ESQUADRIA METÁLICA, COM REAPROVEITAMENTO, INCLUSIVE MARCO/ALIZAR/GUARNIÇÕES, AFASTAMENTO E EMPILHAMENTO, EXCLUSIVE TRANSPORTE E RETIRADA DO MATERIAL REMOVIDO NÃO REAPROVEITÁVEL</t>
  </si>
  <si>
    <t>ED-48497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</si>
</sst>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quot;\ * #,##0.00_-;\-&quot;R$&quot;\ * #,##0.00_-;_-&quot;R$&quot;\ * &quot;-&quot;??_-;_-@_-"/>
    <numFmt numFmtId="43" formatCode="_-* #,##0.00_-;\-* #,##0.00_-;_-* &quot;-&quot;??_-;_-@_-"/>
    <numFmt numFmtId="164" formatCode="_(* #,##0.00_);_(* \(#,##0.00\);_(* \-??_);_(@_)"/>
  </numFmts>
  <fonts count="19" x14ac:knownFonts="1">
    <font>
      <sz val="11"/>
      <color theme="1"/>
      <name val="Calibri"/>
      <family val="2"/>
      <scheme val="minor"/>
    </font>
    <font>
      <sz val="11"/>
      <color rgb="FF000000"/>
      <name val="Calibri"/>
      <family val="2"/>
      <scheme val="minor"/>
    </font>
    <font>
      <sz val="11"/>
      <color theme="1"/>
      <name val="Calibri"/>
      <family val="2"/>
      <scheme val="minor"/>
    </font>
    <font>
      <sz val="10"/>
      <name val="Arial"/>
      <family val="2"/>
    </font>
    <font>
      <b/>
      <sz val="14"/>
      <name val="Arial"/>
      <family val="2"/>
    </font>
    <font>
      <b/>
      <sz val="28"/>
      <name val="Arial"/>
      <family val="2"/>
    </font>
    <font>
      <sz val="11"/>
      <name val="Calibri"/>
      <family val="2"/>
      <scheme val="minor"/>
    </font>
    <font>
      <b/>
      <sz val="12"/>
      <name val="Arial"/>
      <family val="2"/>
    </font>
    <font>
      <sz val="12"/>
      <name val="Arial"/>
      <family val="2"/>
    </font>
    <font>
      <b/>
      <sz val="11"/>
      <name val="Calibri"/>
      <family val="2"/>
      <scheme val="minor"/>
    </font>
    <font>
      <sz val="14"/>
      <name val="Arial"/>
      <family val="2"/>
    </font>
    <font>
      <sz val="14"/>
      <name val="Calibri"/>
      <family val="2"/>
      <scheme val="minor"/>
    </font>
    <font>
      <b/>
      <sz val="11"/>
      <name val="Arial"/>
      <family val="2"/>
    </font>
    <font>
      <b/>
      <sz val="18"/>
      <name val="Arial"/>
      <family val="2"/>
    </font>
    <font>
      <sz val="18"/>
      <name val="Arial"/>
      <family val="2"/>
    </font>
    <font>
      <b/>
      <sz val="11"/>
      <color theme="1"/>
      <name val="Calibri"/>
      <family val="2"/>
      <scheme val="minor"/>
    </font>
    <font>
      <b/>
      <sz val="24"/>
      <color theme="1"/>
      <name val="Calibri"/>
      <family val="2"/>
      <scheme val="minor"/>
    </font>
    <font>
      <sz val="10"/>
      <name val="Arial"/>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0" fontId="1"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164" fontId="3" fillId="0" borderId="0" applyFill="0" applyBorder="0" applyAlignment="0" applyProtection="0"/>
    <xf numFmtId="44" fontId="2" fillId="0" borderId="0" applyFont="0" applyFill="0" applyBorder="0" applyAlignment="0" applyProtection="0"/>
    <xf numFmtId="0" fontId="2" fillId="0" borderId="0"/>
    <xf numFmtId="0" fontId="17" fillId="0" borderId="0"/>
    <xf numFmtId="0" fontId="17" fillId="0" borderId="0"/>
  </cellStyleXfs>
  <cellXfs count="78">
    <xf numFmtId="0" fontId="0" fillId="0" borderId="0" xfId="0"/>
    <xf numFmtId="0" fontId="4" fillId="3" borderId="8" xfId="0" applyFont="1" applyFill="1" applyBorder="1" applyProtection="1"/>
    <xf numFmtId="0" fontId="6" fillId="2" borderId="0" xfId="0" applyFont="1" applyFill="1" applyProtection="1">
      <protection locked="0"/>
    </xf>
    <xf numFmtId="0" fontId="7" fillId="2" borderId="6" xfId="0" applyFont="1" applyFill="1" applyBorder="1" applyAlignment="1" applyProtection="1">
      <protection locked="0"/>
    </xf>
    <xf numFmtId="0" fontId="8" fillId="2" borderId="11" xfId="0" applyFont="1" applyFill="1" applyBorder="1" applyAlignment="1" applyProtection="1">
      <protection locked="0"/>
    </xf>
    <xf numFmtId="0" fontId="7" fillId="2" borderId="7" xfId="0" applyFont="1" applyFill="1" applyBorder="1" applyAlignment="1" applyProtection="1">
      <protection locked="0"/>
    </xf>
    <xf numFmtId="0" fontId="7" fillId="2" borderId="6"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49" fontId="4" fillId="3" borderId="8" xfId="0" applyNumberFormat="1"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 xfId="0" applyFont="1" applyFill="1" applyBorder="1" applyAlignment="1" applyProtection="1">
      <alignment wrapText="1"/>
    </xf>
    <xf numFmtId="0" fontId="9" fillId="2" borderId="0" xfId="0" applyFont="1" applyFill="1" applyProtection="1">
      <protection locked="0"/>
    </xf>
    <xf numFmtId="0" fontId="10"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wrapText="1"/>
    </xf>
    <xf numFmtId="0" fontId="10" fillId="2" borderId="1" xfId="0" applyFont="1" applyFill="1" applyBorder="1" applyAlignment="1" applyProtection="1">
      <alignment horizontal="center" vertical="center"/>
    </xf>
    <xf numFmtId="44" fontId="10" fillId="2" borderId="1" xfId="7" applyFont="1" applyFill="1" applyBorder="1" applyAlignment="1" applyProtection="1">
      <alignment horizontal="center" vertical="center"/>
    </xf>
    <xf numFmtId="0" fontId="11"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right" wrapText="1"/>
    </xf>
    <xf numFmtId="0" fontId="10" fillId="2" borderId="1" xfId="0" applyFont="1" applyFill="1" applyBorder="1" applyProtection="1"/>
    <xf numFmtId="44" fontId="10" fillId="2" borderId="1" xfId="7" applyFont="1" applyFill="1" applyBorder="1" applyProtection="1"/>
    <xf numFmtId="44" fontId="4" fillId="2" borderId="1" xfId="7" applyFont="1" applyFill="1" applyBorder="1" applyAlignment="1" applyProtection="1">
      <alignment horizontal="center"/>
    </xf>
    <xf numFmtId="0" fontId="6" fillId="2"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1" xfId="0" applyFont="1" applyFill="1" applyBorder="1" applyAlignment="1" applyProtection="1">
      <alignment horizontal="right"/>
    </xf>
    <xf numFmtId="0" fontId="14" fillId="2" borderId="1" xfId="0" applyFont="1" applyFill="1" applyBorder="1" applyProtection="1"/>
    <xf numFmtId="44" fontId="13" fillId="2" borderId="1" xfId="7" applyFont="1" applyFill="1" applyBorder="1" applyProtection="1"/>
    <xf numFmtId="43" fontId="6" fillId="2" borderId="0" xfId="3" applyFont="1" applyFill="1" applyProtection="1">
      <protection locked="0"/>
    </xf>
    <xf numFmtId="0" fontId="7" fillId="2" borderId="11" xfId="0" applyFont="1" applyFill="1" applyBorder="1" applyAlignment="1" applyProtection="1">
      <protection locked="0"/>
    </xf>
    <xf numFmtId="44" fontId="4" fillId="3" borderId="1" xfId="0" applyNumberFormat="1" applyFont="1" applyFill="1" applyBorder="1" applyProtection="1"/>
    <xf numFmtId="0" fontId="0" fillId="0" borderId="0" xfId="0" applyBorder="1"/>
    <xf numFmtId="0" fontId="16" fillId="0" borderId="0" xfId="0" applyFont="1" applyBorder="1" applyAlignment="1">
      <alignment horizontal="center"/>
    </xf>
    <xf numFmtId="0" fontId="0" fillId="0" borderId="0" xfId="0" applyFill="1"/>
    <xf numFmtId="0" fontId="0" fillId="0" borderId="1" xfId="0" applyBorder="1"/>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43" fontId="15" fillId="0" borderId="1" xfId="3" applyFont="1" applyBorder="1" applyAlignment="1">
      <alignment horizontal="center" vertical="center"/>
    </xf>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center" wrapText="1"/>
    </xf>
    <xf numFmtId="43" fontId="0" fillId="0" borderId="1" xfId="3" applyFont="1" applyBorder="1"/>
    <xf numFmtId="0" fontId="10" fillId="0" borderId="1" xfId="0" applyFont="1" applyFill="1" applyBorder="1" applyAlignment="1" applyProtection="1">
      <alignment horizontal="center" vertical="center"/>
      <protection locked="0"/>
    </xf>
    <xf numFmtId="0" fontId="10" fillId="2" borderId="12" xfId="0" applyFont="1" applyFill="1" applyBorder="1" applyProtection="1">
      <protection locked="0"/>
    </xf>
    <xf numFmtId="0" fontId="10" fillId="2" borderId="0" xfId="0" applyFont="1" applyFill="1" applyAlignment="1" applyProtection="1">
      <alignment horizontal="center"/>
      <protection locked="0"/>
    </xf>
    <xf numFmtId="0" fontId="10" fillId="2" borderId="1" xfId="0" applyNumberFormat="1" applyFont="1" applyFill="1" applyBorder="1" applyAlignment="1" applyProtection="1">
      <alignment horizontal="center" vertical="center"/>
      <protection locked="0"/>
    </xf>
    <xf numFmtId="44" fontId="15" fillId="0" borderId="1" xfId="7" applyFont="1" applyBorder="1" applyAlignment="1">
      <alignment horizontal="center" vertical="center"/>
    </xf>
    <xf numFmtId="44" fontId="0" fillId="0" borderId="1" xfId="7" applyFont="1" applyBorder="1"/>
    <xf numFmtId="0" fontId="6" fillId="2" borderId="12" xfId="0" applyFont="1" applyFill="1" applyBorder="1" applyProtection="1">
      <protection locked="0"/>
    </xf>
    <xf numFmtId="0" fontId="6" fillId="2" borderId="0" xfId="0" applyFont="1" applyFill="1" applyAlignment="1" applyProtection="1">
      <alignment horizontal="center"/>
      <protection locked="0"/>
    </xf>
    <xf numFmtId="0" fontId="0" fillId="0" borderId="0" xfId="0"/>
    <xf numFmtId="0" fontId="7" fillId="2" borderId="6"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43" fontId="10" fillId="2" borderId="1" xfId="3" applyFont="1" applyFill="1" applyBorder="1" applyAlignment="1" applyProtection="1">
      <alignment vertical="center"/>
      <protection locked="0"/>
    </xf>
    <xf numFmtId="43" fontId="13" fillId="2" borderId="1" xfId="3"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10" fillId="2" borderId="1" xfId="0" applyFont="1" applyFill="1" applyBorder="1" applyAlignment="1" applyProtection="1">
      <alignment vertical="center" wrapText="1"/>
    </xf>
    <xf numFmtId="0" fontId="7" fillId="3" borderId="6" xfId="0" applyFont="1" applyFill="1" applyBorder="1" applyAlignment="1" applyProtection="1">
      <alignment horizontal="center"/>
    </xf>
    <xf numFmtId="0" fontId="7" fillId="3" borderId="7" xfId="0" applyFont="1" applyFill="1" applyBorder="1" applyAlignment="1" applyProtection="1">
      <alignment horizontal="center"/>
    </xf>
    <xf numFmtId="10" fontId="7" fillId="2" borderId="3" xfId="4" applyNumberFormat="1" applyFont="1" applyFill="1" applyBorder="1" applyAlignment="1" applyProtection="1">
      <alignment horizontal="center" vertical="center"/>
      <protection locked="0"/>
    </xf>
    <xf numFmtId="10" fontId="7" fillId="2" borderId="5" xfId="4"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left"/>
      <protection locked="0"/>
    </xf>
    <xf numFmtId="0" fontId="8" fillId="2" borderId="1" xfId="0" applyFont="1" applyFill="1" applyBorder="1" applyAlignment="1" applyProtection="1">
      <alignment horizontal="left"/>
      <protection locked="0"/>
    </xf>
    <xf numFmtId="0" fontId="5"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7" fillId="2" borderId="6" xfId="0" applyFont="1" applyFill="1" applyBorder="1" applyAlignment="1" applyProtection="1">
      <alignment horizontal="left"/>
      <protection locked="0"/>
    </xf>
    <xf numFmtId="0" fontId="7" fillId="2" borderId="11" xfId="0" applyFont="1" applyFill="1" applyBorder="1" applyAlignment="1" applyProtection="1">
      <alignment horizontal="left"/>
      <protection locked="0"/>
    </xf>
    <xf numFmtId="0" fontId="7" fillId="2" borderId="7" xfId="0" applyFont="1" applyFill="1" applyBorder="1" applyAlignment="1" applyProtection="1">
      <alignment horizontal="left"/>
      <protection locked="0"/>
    </xf>
    <xf numFmtId="0" fontId="7" fillId="2" borderId="1" xfId="0" applyFont="1" applyFill="1" applyBorder="1" applyAlignment="1" applyProtection="1">
      <alignment horizontal="center"/>
      <protection locked="0"/>
    </xf>
    <xf numFmtId="0" fontId="7" fillId="2" borderId="2"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16" fillId="0" borderId="1" xfId="0" applyFont="1" applyBorder="1" applyAlignment="1">
      <alignment horizontal="center"/>
    </xf>
    <xf numFmtId="0" fontId="0" fillId="0" borderId="1" xfId="0" applyFill="1" applyBorder="1" applyAlignment="1">
      <alignment horizontal="left"/>
    </xf>
    <xf numFmtId="0" fontId="15" fillId="0" borderId="1" xfId="0" applyFont="1" applyFill="1" applyBorder="1" applyAlignment="1">
      <alignment horizontal="left"/>
    </xf>
  </cellXfs>
  <cellStyles count="11">
    <cellStyle name="Moeda" xfId="7" builtinId="4"/>
    <cellStyle name="Normal" xfId="0" builtinId="0"/>
    <cellStyle name="Normal 2" xfId="5"/>
    <cellStyle name="Normal 2 2" xfId="8"/>
    <cellStyle name="Normal 2 2 3" xfId="2"/>
    <cellStyle name="Normal 2 3" xfId="9"/>
    <cellStyle name="Normal 3" xfId="10"/>
    <cellStyle name="Porcentagem" xfId="4" builtinId="5"/>
    <cellStyle name="Separador de milhares 2" xfId="6"/>
    <cellStyle name="Vírgula" xfId="3" builtinId="3"/>
    <cellStyle name="Vírgula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200025</xdr:colOff>
          <xdr:row>0</xdr:row>
          <xdr:rowOff>38100</xdr:rowOff>
        </xdr:from>
        <xdr:to>
          <xdr:col>2</xdr:col>
          <xdr:colOff>323850</xdr:colOff>
          <xdr:row>0</xdr:row>
          <xdr:rowOff>895350</xdr:rowOff>
        </xdr:to>
        <xdr:sp macro="" textlink="">
          <xdr:nvSpPr>
            <xdr:cNvPr id="5121" name="Object 1" hidden="1">
              <a:extLst>
                <a:ext uri="{63B3BB69-23CF-44E3-9099-C40C66FF867C}">
                  <a14:compatExt spid="_x0000_s5121"/>
                </a:ext>
                <a:ext uri="{FF2B5EF4-FFF2-40B4-BE49-F238E27FC236}">
                  <a16:creationId xmlns:a16="http://schemas.microsoft.com/office/drawing/2014/main" xmlns=""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6"/>
  <sheetViews>
    <sheetView tabSelected="1" view="pageBreakPreview" zoomScale="77" zoomScaleNormal="77" zoomScaleSheetLayoutView="77" workbookViewId="0">
      <selection activeCell="G87" sqref="G87"/>
    </sheetView>
  </sheetViews>
  <sheetFormatPr defaultColWidth="8.85546875" defaultRowHeight="15" x14ac:dyDescent="0.25"/>
  <cols>
    <col min="1" max="1" width="8.42578125" style="2" customWidth="1"/>
    <col min="2" max="2" width="20.28515625" style="2" customWidth="1"/>
    <col min="3" max="3" width="19.140625" style="2" customWidth="1"/>
    <col min="4" max="4" width="113.140625" style="2" customWidth="1"/>
    <col min="5" max="5" width="10.7109375" style="2" customWidth="1"/>
    <col min="6" max="6" width="16.28515625" style="54" bestFit="1" customWidth="1"/>
    <col min="7" max="7" width="18" style="2" customWidth="1"/>
    <col min="8" max="8" width="18.28515625" style="2" customWidth="1"/>
    <col min="9" max="9" width="27.140625" style="2" customWidth="1"/>
    <col min="10" max="16384" width="8.85546875" style="2"/>
  </cols>
  <sheetData>
    <row r="1" spans="1:16" ht="71.25" customHeight="1" x14ac:dyDescent="0.25">
      <c r="A1" s="62" t="s">
        <v>176</v>
      </c>
      <c r="B1" s="62"/>
      <c r="C1" s="62"/>
      <c r="D1" s="62"/>
      <c r="E1" s="62"/>
      <c r="F1" s="62"/>
      <c r="G1" s="62"/>
      <c r="H1" s="62"/>
      <c r="I1" s="62"/>
    </row>
    <row r="2" spans="1:16" ht="15.75" x14ac:dyDescent="0.25">
      <c r="A2" s="63" t="s">
        <v>108</v>
      </c>
      <c r="B2" s="63"/>
      <c r="C2" s="63"/>
      <c r="D2" s="63"/>
      <c r="E2" s="63"/>
      <c r="F2" s="63"/>
      <c r="G2" s="63" t="s">
        <v>256</v>
      </c>
      <c r="H2" s="64"/>
      <c r="I2" s="64"/>
      <c r="P2" s="49" t="s">
        <v>16</v>
      </c>
    </row>
    <row r="3" spans="1:16" ht="15.75" x14ac:dyDescent="0.25">
      <c r="A3" s="3" t="s">
        <v>193</v>
      </c>
      <c r="B3" s="28"/>
      <c r="C3" s="4"/>
      <c r="D3" s="4"/>
      <c r="E3" s="4"/>
      <c r="F3" s="50" t="s">
        <v>69</v>
      </c>
      <c r="G3" s="5"/>
      <c r="H3" s="3" t="s">
        <v>258</v>
      </c>
      <c r="I3" s="5"/>
      <c r="P3" s="49" t="s">
        <v>70</v>
      </c>
    </row>
    <row r="4" spans="1:16" ht="15.75" x14ac:dyDescent="0.25">
      <c r="A4" s="65" t="s">
        <v>194</v>
      </c>
      <c r="B4" s="66"/>
      <c r="C4" s="66"/>
      <c r="D4" s="66"/>
      <c r="E4" s="67"/>
      <c r="F4" s="68" t="s">
        <v>7</v>
      </c>
      <c r="G4" s="68"/>
      <c r="H4" s="68"/>
      <c r="I4" s="68"/>
      <c r="P4" s="49" t="s">
        <v>71</v>
      </c>
    </row>
    <row r="5" spans="1:16" ht="15.75" x14ac:dyDescent="0.25">
      <c r="A5" s="61" t="s">
        <v>195</v>
      </c>
      <c r="B5" s="61"/>
      <c r="C5" s="61"/>
      <c r="D5" s="61"/>
      <c r="E5" s="61"/>
      <c r="F5" s="69" t="s">
        <v>8</v>
      </c>
      <c r="G5" s="72" t="s">
        <v>9</v>
      </c>
      <c r="H5" s="6" t="s">
        <v>18</v>
      </c>
      <c r="I5" s="5" t="s">
        <v>10</v>
      </c>
      <c r="P5" s="2" t="s">
        <v>77</v>
      </c>
    </row>
    <row r="6" spans="1:16" ht="15.75" x14ac:dyDescent="0.25">
      <c r="A6" s="60" t="s">
        <v>147</v>
      </c>
      <c r="B6" s="60"/>
      <c r="C6" s="61"/>
      <c r="D6" s="61"/>
      <c r="E6" s="61"/>
      <c r="F6" s="70"/>
      <c r="G6" s="73"/>
      <c r="H6" s="69" t="s">
        <v>62</v>
      </c>
      <c r="I6" s="58">
        <v>0.2402</v>
      </c>
    </row>
    <row r="7" spans="1:16" ht="15.75" x14ac:dyDescent="0.25">
      <c r="A7" s="60" t="s">
        <v>196</v>
      </c>
      <c r="B7" s="60"/>
      <c r="C7" s="61"/>
      <c r="D7" s="61"/>
      <c r="E7" s="61"/>
      <c r="F7" s="71"/>
      <c r="G7" s="74"/>
      <c r="H7" s="71"/>
      <c r="I7" s="59"/>
    </row>
    <row r="8" spans="1:16" ht="31.5" x14ac:dyDescent="0.25">
      <c r="A8" s="7" t="s">
        <v>72</v>
      </c>
      <c r="B8" s="7" t="s">
        <v>67</v>
      </c>
      <c r="C8" s="7" t="s">
        <v>0</v>
      </c>
      <c r="D8" s="7" t="s">
        <v>73</v>
      </c>
      <c r="E8" s="7" t="s">
        <v>11</v>
      </c>
      <c r="F8" s="7" t="s">
        <v>12</v>
      </c>
      <c r="G8" s="8" t="s">
        <v>64</v>
      </c>
      <c r="H8" s="8" t="s">
        <v>63</v>
      </c>
      <c r="I8" s="7" t="s">
        <v>13</v>
      </c>
    </row>
    <row r="9" spans="1:16" s="12" customFormat="1" ht="18" x14ac:dyDescent="0.25">
      <c r="A9" s="9">
        <v>1</v>
      </c>
      <c r="B9" s="9"/>
      <c r="C9" s="10"/>
      <c r="D9" s="11" t="s">
        <v>60</v>
      </c>
      <c r="E9" s="1"/>
      <c r="F9" s="51"/>
      <c r="G9" s="56" t="s">
        <v>14</v>
      </c>
      <c r="H9" s="57"/>
      <c r="I9" s="29">
        <f>SUM(I10:I10)</f>
        <v>0</v>
      </c>
    </row>
    <row r="10" spans="1:16" ht="90" x14ac:dyDescent="0.25">
      <c r="A10" s="13" t="s">
        <v>6</v>
      </c>
      <c r="B10" s="41" t="s">
        <v>16</v>
      </c>
      <c r="C10" s="13" t="s">
        <v>99</v>
      </c>
      <c r="D10" s="14" t="s">
        <v>257</v>
      </c>
      <c r="E10" s="15" t="s">
        <v>84</v>
      </c>
      <c r="F10" s="52">
        <v>1</v>
      </c>
      <c r="G10" s="16"/>
      <c r="H10" s="16">
        <f t="shared" ref="H10" si="0">IF(C10=0,"",ROUND(G10+G10*$I$6,2))</f>
        <v>0</v>
      </c>
      <c r="I10" s="16">
        <f t="shared" ref="I10" si="1">IF(C10=0,"",ROUND(F10*H10,2))</f>
        <v>0</v>
      </c>
    </row>
    <row r="11" spans="1:16" ht="18.75" x14ac:dyDescent="0.25">
      <c r="A11" s="17"/>
      <c r="B11" s="17"/>
      <c r="C11" s="13"/>
      <c r="D11" s="18"/>
      <c r="E11" s="19"/>
      <c r="F11" s="52"/>
      <c r="G11" s="20"/>
      <c r="H11" s="20"/>
      <c r="I11" s="21"/>
    </row>
    <row r="12" spans="1:16" s="12" customFormat="1" ht="18" x14ac:dyDescent="0.25">
      <c r="A12" s="9" t="s">
        <v>110</v>
      </c>
      <c r="B12" s="9"/>
      <c r="C12" s="10"/>
      <c r="D12" s="11" t="s">
        <v>148</v>
      </c>
      <c r="E12" s="1"/>
      <c r="F12" s="51"/>
      <c r="G12" s="56" t="s">
        <v>14</v>
      </c>
      <c r="H12" s="57"/>
      <c r="I12" s="29">
        <f>SUM(I13:I20)</f>
        <v>0</v>
      </c>
    </row>
    <row r="13" spans="1:16" ht="54" x14ac:dyDescent="0.25">
      <c r="A13" s="13" t="s">
        <v>111</v>
      </c>
      <c r="B13" s="41" t="s">
        <v>16</v>
      </c>
      <c r="C13" s="44" t="s">
        <v>24</v>
      </c>
      <c r="D13" s="14" t="s">
        <v>97</v>
      </c>
      <c r="E13" s="15" t="s">
        <v>81</v>
      </c>
      <c r="F13" s="52">
        <v>86.08</v>
      </c>
      <c r="G13" s="16"/>
      <c r="H13" s="16">
        <f t="shared" ref="H13:H19" si="2">IF(C13=0,"",ROUND(G13+G13*$I$6,2))</f>
        <v>0</v>
      </c>
      <c r="I13" s="16">
        <f t="shared" ref="I13:I19" si="3">IF(C13=0,"",ROUND(F13*H13,2))</f>
        <v>0</v>
      </c>
    </row>
    <row r="14" spans="1:16" ht="54" x14ac:dyDescent="0.25">
      <c r="A14" s="13" t="s">
        <v>112</v>
      </c>
      <c r="B14" s="41" t="s">
        <v>16</v>
      </c>
      <c r="C14" s="13" t="s">
        <v>20</v>
      </c>
      <c r="D14" s="14" t="s">
        <v>197</v>
      </c>
      <c r="E14" s="15" t="s">
        <v>81</v>
      </c>
      <c r="F14" s="52">
        <v>80.53</v>
      </c>
      <c r="G14" s="16"/>
      <c r="H14" s="16">
        <f t="shared" si="2"/>
        <v>0</v>
      </c>
      <c r="I14" s="16">
        <f t="shared" si="3"/>
        <v>0</v>
      </c>
    </row>
    <row r="15" spans="1:16" ht="72" x14ac:dyDescent="0.25">
      <c r="A15" s="13" t="s">
        <v>113</v>
      </c>
      <c r="B15" s="41" t="s">
        <v>16</v>
      </c>
      <c r="C15" s="13" t="s">
        <v>22</v>
      </c>
      <c r="D15" s="14" t="s">
        <v>98</v>
      </c>
      <c r="E15" s="15" t="s">
        <v>84</v>
      </c>
      <c r="F15" s="52">
        <v>17</v>
      </c>
      <c r="G15" s="16"/>
      <c r="H15" s="16">
        <f t="shared" si="2"/>
        <v>0</v>
      </c>
      <c r="I15" s="16">
        <f t="shared" si="3"/>
        <v>0</v>
      </c>
    </row>
    <row r="16" spans="1:16" ht="54" x14ac:dyDescent="0.25">
      <c r="A16" s="13" t="s">
        <v>114</v>
      </c>
      <c r="B16" s="41" t="s">
        <v>16</v>
      </c>
      <c r="C16" s="13" t="s">
        <v>23</v>
      </c>
      <c r="D16" s="14" t="s">
        <v>198</v>
      </c>
      <c r="E16" s="15" t="s">
        <v>82</v>
      </c>
      <c r="F16" s="52">
        <v>89.43</v>
      </c>
      <c r="G16" s="16"/>
      <c r="H16" s="16">
        <f t="shared" si="2"/>
        <v>0</v>
      </c>
      <c r="I16" s="16">
        <f t="shared" si="3"/>
        <v>0</v>
      </c>
    </row>
    <row r="17" spans="1:9" ht="72" x14ac:dyDescent="0.25">
      <c r="A17" s="13" t="s">
        <v>115</v>
      </c>
      <c r="B17" s="41" t="s">
        <v>16</v>
      </c>
      <c r="C17" s="13" t="s">
        <v>21</v>
      </c>
      <c r="D17" s="14" t="s">
        <v>96</v>
      </c>
      <c r="E17" s="15" t="s">
        <v>82</v>
      </c>
      <c r="F17" s="52">
        <v>17.96</v>
      </c>
      <c r="G17" s="16"/>
      <c r="H17" s="16">
        <f t="shared" si="2"/>
        <v>0</v>
      </c>
      <c r="I17" s="16">
        <f t="shared" si="3"/>
        <v>0</v>
      </c>
    </row>
    <row r="18" spans="1:9" ht="90" x14ac:dyDescent="0.25">
      <c r="A18" s="13" t="s">
        <v>116</v>
      </c>
      <c r="B18" s="41" t="s">
        <v>16</v>
      </c>
      <c r="C18" s="13" t="s">
        <v>200</v>
      </c>
      <c r="D18" s="14" t="s">
        <v>199</v>
      </c>
      <c r="E18" s="15" t="s">
        <v>81</v>
      </c>
      <c r="F18" s="52">
        <v>2.4900000000000002</v>
      </c>
      <c r="G18" s="16"/>
      <c r="H18" s="16">
        <f t="shared" si="2"/>
        <v>0</v>
      </c>
      <c r="I18" s="16">
        <f t="shared" si="3"/>
        <v>0</v>
      </c>
    </row>
    <row r="19" spans="1:9" ht="72" x14ac:dyDescent="0.25">
      <c r="A19" s="13" t="s">
        <v>117</v>
      </c>
      <c r="B19" s="41" t="s">
        <v>16</v>
      </c>
      <c r="C19" s="13" t="s">
        <v>202</v>
      </c>
      <c r="D19" s="14" t="s">
        <v>201</v>
      </c>
      <c r="E19" s="15" t="s">
        <v>81</v>
      </c>
      <c r="F19" s="52">
        <v>10.64</v>
      </c>
      <c r="G19" s="16"/>
      <c r="H19" s="16">
        <f t="shared" si="2"/>
        <v>0</v>
      </c>
      <c r="I19" s="16">
        <f t="shared" si="3"/>
        <v>0</v>
      </c>
    </row>
    <row r="20" spans="1:9" ht="72" x14ac:dyDescent="0.25">
      <c r="A20" s="13" t="s">
        <v>203</v>
      </c>
      <c r="B20" s="41" t="s">
        <v>16</v>
      </c>
      <c r="C20" s="13" t="s">
        <v>260</v>
      </c>
      <c r="D20" s="14" t="s">
        <v>259</v>
      </c>
      <c r="E20" s="15" t="s">
        <v>81</v>
      </c>
      <c r="F20" s="52">
        <v>1.6</v>
      </c>
      <c r="G20" s="16"/>
      <c r="H20" s="16">
        <f t="shared" ref="H20" si="4">IF(C20=0,"",ROUND(G20+G20*$I$6,2))</f>
        <v>0</v>
      </c>
      <c r="I20" s="16">
        <f t="shared" ref="I20" si="5">IF(C20=0,"",ROUND(F20*H20,2))</f>
        <v>0</v>
      </c>
    </row>
    <row r="21" spans="1:9" ht="18.75" x14ac:dyDescent="0.25">
      <c r="A21" s="17"/>
      <c r="B21" s="17"/>
      <c r="C21" s="13"/>
      <c r="D21" s="18"/>
      <c r="E21" s="19"/>
      <c r="F21" s="52"/>
      <c r="G21" s="20"/>
      <c r="H21" s="20"/>
      <c r="I21" s="21"/>
    </row>
    <row r="22" spans="1:9" s="12" customFormat="1" ht="18" x14ac:dyDescent="0.25">
      <c r="A22" s="9" t="s">
        <v>118</v>
      </c>
      <c r="B22" s="9"/>
      <c r="C22" s="10"/>
      <c r="D22" s="11" t="s">
        <v>149</v>
      </c>
      <c r="E22" s="1"/>
      <c r="F22" s="51"/>
      <c r="G22" s="56" t="s">
        <v>14</v>
      </c>
      <c r="H22" s="57"/>
      <c r="I22" s="29">
        <f>SUM(I23:I29)</f>
        <v>0</v>
      </c>
    </row>
    <row r="23" spans="1:9" ht="54" x14ac:dyDescent="0.25">
      <c r="A23" s="13" t="s">
        <v>119</v>
      </c>
      <c r="B23" s="41" t="s">
        <v>16</v>
      </c>
      <c r="C23" s="13" t="s">
        <v>56</v>
      </c>
      <c r="D23" s="14" t="s">
        <v>104</v>
      </c>
      <c r="E23" s="15" t="s">
        <v>81</v>
      </c>
      <c r="F23" s="52">
        <v>7.8</v>
      </c>
      <c r="G23" s="16"/>
      <c r="H23" s="16">
        <f t="shared" ref="H23:H29" si="6">IF(C23=0,"",ROUND(G23+G23*$I$6,2))</f>
        <v>0</v>
      </c>
      <c r="I23" s="16">
        <f t="shared" ref="I23:I29" si="7">IF(C23=0,"",ROUND(F23*H23,2))</f>
        <v>0</v>
      </c>
    </row>
    <row r="24" spans="1:9" ht="54" x14ac:dyDescent="0.25">
      <c r="A24" s="13" t="s">
        <v>120</v>
      </c>
      <c r="B24" s="41" t="s">
        <v>16</v>
      </c>
      <c r="C24" s="13" t="s">
        <v>57</v>
      </c>
      <c r="D24" s="14" t="s">
        <v>105</v>
      </c>
      <c r="E24" s="15" t="s">
        <v>81</v>
      </c>
      <c r="F24" s="52">
        <v>63.99</v>
      </c>
      <c r="G24" s="16"/>
      <c r="H24" s="16">
        <f t="shared" si="6"/>
        <v>0</v>
      </c>
      <c r="I24" s="16">
        <f t="shared" si="7"/>
        <v>0</v>
      </c>
    </row>
    <row r="25" spans="1:9" ht="54" x14ac:dyDescent="0.25">
      <c r="A25" s="13" t="s">
        <v>121</v>
      </c>
      <c r="B25" s="41" t="s">
        <v>16</v>
      </c>
      <c r="C25" s="13" t="s">
        <v>55</v>
      </c>
      <c r="D25" s="14" t="s">
        <v>204</v>
      </c>
      <c r="E25" s="15" t="s">
        <v>81</v>
      </c>
      <c r="F25" s="52">
        <v>56.19</v>
      </c>
      <c r="G25" s="16"/>
      <c r="H25" s="16">
        <f t="shared" si="6"/>
        <v>0</v>
      </c>
      <c r="I25" s="16">
        <f t="shared" si="7"/>
        <v>0</v>
      </c>
    </row>
    <row r="26" spans="1:9" ht="36" x14ac:dyDescent="0.25">
      <c r="A26" s="13" t="s">
        <v>122</v>
      </c>
      <c r="B26" s="41" t="s">
        <v>16</v>
      </c>
      <c r="C26" s="44" t="s">
        <v>206</v>
      </c>
      <c r="D26" s="14" t="s">
        <v>205</v>
      </c>
      <c r="E26" s="15" t="s">
        <v>81</v>
      </c>
      <c r="F26" s="52">
        <v>15.19</v>
      </c>
      <c r="G26" s="16"/>
      <c r="H26" s="16">
        <f t="shared" si="6"/>
        <v>0</v>
      </c>
      <c r="I26" s="16">
        <f t="shared" si="7"/>
        <v>0</v>
      </c>
    </row>
    <row r="27" spans="1:9" ht="72" x14ac:dyDescent="0.25">
      <c r="A27" s="13" t="s">
        <v>123</v>
      </c>
      <c r="B27" s="41" t="s">
        <v>16</v>
      </c>
      <c r="C27" s="13" t="s">
        <v>58</v>
      </c>
      <c r="D27" s="14" t="s">
        <v>59</v>
      </c>
      <c r="E27" s="15" t="s">
        <v>81</v>
      </c>
      <c r="F27" s="52">
        <v>8.08</v>
      </c>
      <c r="G27" s="16"/>
      <c r="H27" s="16">
        <f t="shared" si="6"/>
        <v>0</v>
      </c>
      <c r="I27" s="16">
        <f t="shared" si="7"/>
        <v>0</v>
      </c>
    </row>
    <row r="28" spans="1:9" ht="54" x14ac:dyDescent="0.25">
      <c r="A28" s="13" t="s">
        <v>124</v>
      </c>
      <c r="B28" s="41" t="s">
        <v>16</v>
      </c>
      <c r="C28" s="13" t="s">
        <v>208</v>
      </c>
      <c r="D28" s="14" t="s">
        <v>207</v>
      </c>
      <c r="E28" s="15" t="s">
        <v>81</v>
      </c>
      <c r="F28" s="52">
        <v>10.64</v>
      </c>
      <c r="G28" s="16"/>
      <c r="H28" s="16">
        <f t="shared" si="6"/>
        <v>0</v>
      </c>
      <c r="I28" s="16">
        <f t="shared" si="7"/>
        <v>0</v>
      </c>
    </row>
    <row r="29" spans="1:9" ht="36" x14ac:dyDescent="0.25">
      <c r="A29" s="13" t="s">
        <v>125</v>
      </c>
      <c r="B29" s="41" t="s">
        <v>16</v>
      </c>
      <c r="C29" s="13" t="s">
        <v>209</v>
      </c>
      <c r="D29" s="14" t="s">
        <v>210</v>
      </c>
      <c r="E29" s="15" t="s">
        <v>81</v>
      </c>
      <c r="F29" s="52">
        <v>4.2</v>
      </c>
      <c r="G29" s="16"/>
      <c r="H29" s="16">
        <f t="shared" si="6"/>
        <v>0</v>
      </c>
      <c r="I29" s="16">
        <f t="shared" si="7"/>
        <v>0</v>
      </c>
    </row>
    <row r="30" spans="1:9" ht="18.75" x14ac:dyDescent="0.25">
      <c r="A30" s="17"/>
      <c r="B30" s="17"/>
      <c r="C30" s="13"/>
      <c r="D30" s="18"/>
      <c r="E30" s="19"/>
      <c r="F30" s="52"/>
      <c r="G30" s="20"/>
      <c r="H30" s="20"/>
      <c r="I30" s="21"/>
    </row>
    <row r="31" spans="1:9" s="12" customFormat="1" ht="18" x14ac:dyDescent="0.25">
      <c r="A31" s="9" t="s">
        <v>126</v>
      </c>
      <c r="B31" s="9"/>
      <c r="C31" s="10"/>
      <c r="D31" s="11" t="s">
        <v>85</v>
      </c>
      <c r="E31" s="1"/>
      <c r="F31" s="51"/>
      <c r="G31" s="56" t="s">
        <v>14</v>
      </c>
      <c r="H31" s="57"/>
      <c r="I31" s="29">
        <f>SUM(I32:I45)</f>
        <v>0</v>
      </c>
    </row>
    <row r="32" spans="1:9" ht="90" x14ac:dyDescent="0.25">
      <c r="A32" s="13" t="s">
        <v>127</v>
      </c>
      <c r="B32" s="41" t="s">
        <v>16</v>
      </c>
      <c r="C32" s="13" t="s">
        <v>29</v>
      </c>
      <c r="D32" s="14" t="s">
        <v>211</v>
      </c>
      <c r="E32" s="15" t="s">
        <v>84</v>
      </c>
      <c r="F32" s="52">
        <v>1</v>
      </c>
      <c r="G32" s="16"/>
      <c r="H32" s="16">
        <f t="shared" ref="H32:H38" si="8">IF(C32=0,"",ROUND(G32+G32*$I$6,2))</f>
        <v>0</v>
      </c>
      <c r="I32" s="16">
        <f t="shared" ref="I32:I38" si="9">IF(C32=0,"",ROUND(F32*H32,2))</f>
        <v>0</v>
      </c>
    </row>
    <row r="33" spans="1:9" ht="54" x14ac:dyDescent="0.25">
      <c r="A33" s="13" t="s">
        <v>128</v>
      </c>
      <c r="B33" s="41" t="s">
        <v>16</v>
      </c>
      <c r="C33" s="13" t="s">
        <v>31</v>
      </c>
      <c r="D33" s="14" t="s">
        <v>79</v>
      </c>
      <c r="E33" s="15" t="s">
        <v>84</v>
      </c>
      <c r="F33" s="52">
        <v>3</v>
      </c>
      <c r="G33" s="16"/>
      <c r="H33" s="16">
        <f t="shared" si="8"/>
        <v>0</v>
      </c>
      <c r="I33" s="16">
        <f t="shared" si="9"/>
        <v>0</v>
      </c>
    </row>
    <row r="34" spans="1:9" ht="54" x14ac:dyDescent="0.25">
      <c r="A34" s="13" t="s">
        <v>129</v>
      </c>
      <c r="B34" s="41" t="s">
        <v>16</v>
      </c>
      <c r="C34" s="44" t="s">
        <v>213</v>
      </c>
      <c r="D34" s="14" t="s">
        <v>212</v>
      </c>
      <c r="E34" s="15" t="s">
        <v>84</v>
      </c>
      <c r="F34" s="52">
        <v>1</v>
      </c>
      <c r="G34" s="16"/>
      <c r="H34" s="16">
        <f t="shared" si="8"/>
        <v>0</v>
      </c>
      <c r="I34" s="16">
        <f t="shared" si="9"/>
        <v>0</v>
      </c>
    </row>
    <row r="35" spans="1:9" ht="54" x14ac:dyDescent="0.25">
      <c r="A35" s="13" t="s">
        <v>130</v>
      </c>
      <c r="B35" s="41" t="s">
        <v>16</v>
      </c>
      <c r="C35" s="13" t="s">
        <v>216</v>
      </c>
      <c r="D35" s="14" t="s">
        <v>215</v>
      </c>
      <c r="E35" s="15" t="s">
        <v>84</v>
      </c>
      <c r="F35" s="52">
        <v>1</v>
      </c>
      <c r="G35" s="16"/>
      <c r="H35" s="16">
        <f t="shared" si="8"/>
        <v>0</v>
      </c>
      <c r="I35" s="16">
        <f t="shared" si="9"/>
        <v>0</v>
      </c>
    </row>
    <row r="36" spans="1:9" ht="36" x14ac:dyDescent="0.25">
      <c r="A36" s="13" t="s">
        <v>131</v>
      </c>
      <c r="B36" s="41" t="s">
        <v>16</v>
      </c>
      <c r="C36" s="13" t="s">
        <v>214</v>
      </c>
      <c r="D36" s="14" t="s">
        <v>217</v>
      </c>
      <c r="E36" s="15" t="s">
        <v>81</v>
      </c>
      <c r="F36" s="52">
        <v>1.26</v>
      </c>
      <c r="G36" s="16"/>
      <c r="H36" s="16">
        <f t="shared" si="8"/>
        <v>0</v>
      </c>
      <c r="I36" s="16">
        <f t="shared" si="9"/>
        <v>0</v>
      </c>
    </row>
    <row r="37" spans="1:9" ht="18" x14ac:dyDescent="0.25">
      <c r="A37" s="13" t="s">
        <v>132</v>
      </c>
      <c r="B37" s="41" t="s">
        <v>16</v>
      </c>
      <c r="C37" s="44" t="s">
        <v>32</v>
      </c>
      <c r="D37" s="14" t="s">
        <v>2</v>
      </c>
      <c r="E37" s="15" t="s">
        <v>17</v>
      </c>
      <c r="F37" s="52">
        <v>3</v>
      </c>
      <c r="G37" s="16"/>
      <c r="H37" s="16">
        <f t="shared" si="8"/>
        <v>0</v>
      </c>
      <c r="I37" s="16">
        <f t="shared" si="9"/>
        <v>0</v>
      </c>
    </row>
    <row r="38" spans="1:9" ht="36" x14ac:dyDescent="0.25">
      <c r="A38" s="13" t="s">
        <v>133</v>
      </c>
      <c r="B38" s="41" t="s">
        <v>16</v>
      </c>
      <c r="C38" s="13" t="s">
        <v>219</v>
      </c>
      <c r="D38" s="14" t="s">
        <v>218</v>
      </c>
      <c r="E38" s="15" t="s">
        <v>84</v>
      </c>
      <c r="F38" s="52">
        <v>18</v>
      </c>
      <c r="G38" s="16"/>
      <c r="H38" s="16">
        <f t="shared" si="8"/>
        <v>0</v>
      </c>
      <c r="I38" s="16">
        <f t="shared" si="9"/>
        <v>0</v>
      </c>
    </row>
    <row r="39" spans="1:9" ht="36" x14ac:dyDescent="0.25">
      <c r="A39" s="13" t="s">
        <v>228</v>
      </c>
      <c r="B39" s="41" t="s">
        <v>16</v>
      </c>
      <c r="C39" s="13" t="s">
        <v>221</v>
      </c>
      <c r="D39" s="14" t="s">
        <v>220</v>
      </c>
      <c r="E39" s="15" t="s">
        <v>84</v>
      </c>
      <c r="F39" s="52">
        <v>3</v>
      </c>
      <c r="G39" s="16"/>
      <c r="H39" s="16">
        <f t="shared" ref="H39:H45" si="10">IF(C39=0,"",ROUND(G39+G39*$I$6,2))</f>
        <v>0</v>
      </c>
      <c r="I39" s="16">
        <f t="shared" ref="I39:I45" si="11">IF(C39=0,"",ROUND(F39*H39,2))</f>
        <v>0</v>
      </c>
    </row>
    <row r="40" spans="1:9" ht="36" x14ac:dyDescent="0.25">
      <c r="A40" s="13" t="s">
        <v>229</v>
      </c>
      <c r="B40" s="41" t="s">
        <v>71</v>
      </c>
      <c r="C40" s="13">
        <v>36801</v>
      </c>
      <c r="D40" s="14" t="s">
        <v>222</v>
      </c>
      <c r="E40" s="15" t="s">
        <v>5</v>
      </c>
      <c r="F40" s="52">
        <v>2</v>
      </c>
      <c r="G40" s="16"/>
      <c r="H40" s="16">
        <f t="shared" si="10"/>
        <v>0</v>
      </c>
      <c r="I40" s="16">
        <f t="shared" si="11"/>
        <v>0</v>
      </c>
    </row>
    <row r="41" spans="1:9" ht="36" x14ac:dyDescent="0.25">
      <c r="A41" s="13" t="s">
        <v>230</v>
      </c>
      <c r="B41" s="41" t="s">
        <v>16</v>
      </c>
      <c r="C41" s="13" t="s">
        <v>224</v>
      </c>
      <c r="D41" s="14" t="s">
        <v>223</v>
      </c>
      <c r="E41" s="15" t="s">
        <v>84</v>
      </c>
      <c r="F41" s="52">
        <v>2</v>
      </c>
      <c r="G41" s="16"/>
      <c r="H41" s="16">
        <f t="shared" si="10"/>
        <v>0</v>
      </c>
      <c r="I41" s="16">
        <f t="shared" si="11"/>
        <v>0</v>
      </c>
    </row>
    <row r="42" spans="1:9" ht="36" x14ac:dyDescent="0.25">
      <c r="A42" s="13" t="s">
        <v>231</v>
      </c>
      <c r="B42" s="41" t="s">
        <v>70</v>
      </c>
      <c r="C42" s="13">
        <v>86883</v>
      </c>
      <c r="D42" s="14" t="s">
        <v>225</v>
      </c>
      <c r="E42" s="15" t="s">
        <v>5</v>
      </c>
      <c r="F42" s="52">
        <v>3</v>
      </c>
      <c r="G42" s="16"/>
      <c r="H42" s="16">
        <f t="shared" si="10"/>
        <v>0</v>
      </c>
      <c r="I42" s="16">
        <f t="shared" si="11"/>
        <v>0</v>
      </c>
    </row>
    <row r="43" spans="1:9" ht="36" x14ac:dyDescent="0.25">
      <c r="A43" s="13" t="s">
        <v>232</v>
      </c>
      <c r="B43" s="41" t="s">
        <v>77</v>
      </c>
      <c r="C43" s="13" t="s">
        <v>78</v>
      </c>
      <c r="D43" s="14" t="s">
        <v>183</v>
      </c>
      <c r="E43" s="15" t="s">
        <v>5</v>
      </c>
      <c r="F43" s="52">
        <v>1</v>
      </c>
      <c r="G43" s="16"/>
      <c r="H43" s="16">
        <f t="shared" si="10"/>
        <v>0</v>
      </c>
      <c r="I43" s="16">
        <f t="shared" si="11"/>
        <v>0</v>
      </c>
    </row>
    <row r="44" spans="1:9" ht="18" x14ac:dyDescent="0.25">
      <c r="A44" s="13" t="s">
        <v>233</v>
      </c>
      <c r="B44" s="41" t="s">
        <v>71</v>
      </c>
      <c r="C44" s="13">
        <v>11703</v>
      </c>
      <c r="D44" s="14" t="s">
        <v>226</v>
      </c>
      <c r="E44" s="15" t="s">
        <v>5</v>
      </c>
      <c r="F44" s="52">
        <v>3</v>
      </c>
      <c r="G44" s="16"/>
      <c r="H44" s="16">
        <f t="shared" si="10"/>
        <v>0</v>
      </c>
      <c r="I44" s="16">
        <f t="shared" si="11"/>
        <v>0</v>
      </c>
    </row>
    <row r="45" spans="1:9" ht="18" x14ac:dyDescent="0.25">
      <c r="A45" s="13" t="s">
        <v>234</v>
      </c>
      <c r="B45" s="41" t="s">
        <v>71</v>
      </c>
      <c r="C45" s="13">
        <v>377</v>
      </c>
      <c r="D45" s="14" t="s">
        <v>227</v>
      </c>
      <c r="E45" s="15" t="s">
        <v>5</v>
      </c>
      <c r="F45" s="52">
        <v>1</v>
      </c>
      <c r="G45" s="16"/>
      <c r="H45" s="16">
        <f t="shared" si="10"/>
        <v>0</v>
      </c>
      <c r="I45" s="16">
        <f t="shared" si="11"/>
        <v>0</v>
      </c>
    </row>
    <row r="46" spans="1:9" ht="18.75" x14ac:dyDescent="0.25">
      <c r="A46" s="17"/>
      <c r="B46" s="17"/>
      <c r="C46" s="13"/>
      <c r="D46" s="18"/>
      <c r="E46" s="19"/>
      <c r="F46" s="52"/>
      <c r="G46" s="20"/>
      <c r="H46" s="20"/>
      <c r="I46" s="21"/>
    </row>
    <row r="47" spans="1:9" s="12" customFormat="1" ht="18" x14ac:dyDescent="0.25">
      <c r="A47" s="9" t="s">
        <v>134</v>
      </c>
      <c r="B47" s="9"/>
      <c r="C47" s="10"/>
      <c r="D47" s="11" t="s">
        <v>65</v>
      </c>
      <c r="E47" s="1"/>
      <c r="F47" s="51"/>
      <c r="G47" s="56" t="s">
        <v>14</v>
      </c>
      <c r="H47" s="57"/>
      <c r="I47" s="29">
        <f>SUM(I48:I51)</f>
        <v>0</v>
      </c>
    </row>
    <row r="48" spans="1:9" ht="129" customHeight="1" x14ac:dyDescent="0.25">
      <c r="A48" s="13" t="s">
        <v>135</v>
      </c>
      <c r="B48" s="41" t="s">
        <v>16</v>
      </c>
      <c r="C48" s="44" t="s">
        <v>30</v>
      </c>
      <c r="D48" s="55" t="s">
        <v>235</v>
      </c>
      <c r="E48" s="15" t="s">
        <v>84</v>
      </c>
      <c r="F48" s="52">
        <v>1</v>
      </c>
      <c r="G48" s="16"/>
      <c r="H48" s="16">
        <f t="shared" ref="H48:H51" si="12">IF(C48=0,"",ROUND(G48+G48*$I$6,2))</f>
        <v>0</v>
      </c>
      <c r="I48" s="16">
        <f t="shared" ref="I48:I51" si="13">IF(C48=0,"",ROUND(F48*H48,2))</f>
        <v>0</v>
      </c>
    </row>
    <row r="49" spans="1:9" ht="147.75" customHeight="1" x14ac:dyDescent="0.25">
      <c r="A49" s="13" t="s">
        <v>136</v>
      </c>
      <c r="B49" s="41" t="s">
        <v>16</v>
      </c>
      <c r="C49" s="44" t="s">
        <v>237</v>
      </c>
      <c r="D49" s="55" t="s">
        <v>236</v>
      </c>
      <c r="E49" s="15" t="s">
        <v>84</v>
      </c>
      <c r="F49" s="52">
        <v>11</v>
      </c>
      <c r="G49" s="16"/>
      <c r="H49" s="16">
        <f t="shared" si="12"/>
        <v>0</v>
      </c>
      <c r="I49" s="16">
        <f t="shared" si="13"/>
        <v>0</v>
      </c>
    </row>
    <row r="50" spans="1:9" ht="54" x14ac:dyDescent="0.25">
      <c r="A50" s="13" t="s">
        <v>137</v>
      </c>
      <c r="B50" s="41" t="s">
        <v>16</v>
      </c>
      <c r="C50" s="44" t="s">
        <v>25</v>
      </c>
      <c r="D50" s="14" t="s">
        <v>61</v>
      </c>
      <c r="E50" s="15" t="s">
        <v>84</v>
      </c>
      <c r="F50" s="52">
        <v>10</v>
      </c>
      <c r="G50" s="16"/>
      <c r="H50" s="16">
        <f t="shared" si="12"/>
        <v>0</v>
      </c>
      <c r="I50" s="16">
        <f t="shared" si="13"/>
        <v>0</v>
      </c>
    </row>
    <row r="51" spans="1:9" ht="36" x14ac:dyDescent="0.25">
      <c r="A51" s="13" t="s">
        <v>138</v>
      </c>
      <c r="B51" s="41" t="s">
        <v>70</v>
      </c>
      <c r="C51" s="13">
        <v>103782</v>
      </c>
      <c r="D51" s="14" t="s">
        <v>238</v>
      </c>
      <c r="E51" s="15" t="s">
        <v>5</v>
      </c>
      <c r="F51" s="52">
        <v>7</v>
      </c>
      <c r="G51" s="16"/>
      <c r="H51" s="16">
        <f t="shared" si="12"/>
        <v>0</v>
      </c>
      <c r="I51" s="16">
        <f t="shared" si="13"/>
        <v>0</v>
      </c>
    </row>
    <row r="52" spans="1:9" ht="18.75" x14ac:dyDescent="0.25">
      <c r="A52" s="17"/>
      <c r="B52" s="17"/>
      <c r="C52" s="13"/>
      <c r="D52" s="18"/>
      <c r="E52" s="19"/>
      <c r="F52" s="52"/>
      <c r="G52" s="20"/>
      <c r="H52" s="20"/>
      <c r="I52" s="21"/>
    </row>
    <row r="53" spans="1:9" s="12" customFormat="1" ht="18" x14ac:dyDescent="0.25">
      <c r="A53" s="9" t="s">
        <v>139</v>
      </c>
      <c r="B53" s="9"/>
      <c r="C53" s="10"/>
      <c r="D53" s="11" t="s">
        <v>150</v>
      </c>
      <c r="E53" s="1"/>
      <c r="F53" s="51"/>
      <c r="G53" s="56" t="s">
        <v>14</v>
      </c>
      <c r="H53" s="57"/>
      <c r="I53" s="29">
        <f>SUM(I54:I56)</f>
        <v>0</v>
      </c>
    </row>
    <row r="54" spans="1:9" ht="36" x14ac:dyDescent="0.25">
      <c r="A54" s="13" t="s">
        <v>140</v>
      </c>
      <c r="B54" s="41" t="s">
        <v>16</v>
      </c>
      <c r="C54" s="13" t="s">
        <v>19</v>
      </c>
      <c r="D54" s="14" t="s">
        <v>107</v>
      </c>
      <c r="E54" s="15" t="s">
        <v>81</v>
      </c>
      <c r="F54" s="52">
        <v>28.7</v>
      </c>
      <c r="G54" s="16"/>
      <c r="H54" s="16">
        <f t="shared" ref="H54:H56" si="14">IF(C54=0,"",ROUND(G54+G54*$I$6,2))</f>
        <v>0</v>
      </c>
      <c r="I54" s="16">
        <f t="shared" ref="I54:I56" si="15">IF(C54=0,"",ROUND(F54*H54,2))</f>
        <v>0</v>
      </c>
    </row>
    <row r="55" spans="1:9" ht="36" x14ac:dyDescent="0.25">
      <c r="A55" s="13" t="s">
        <v>141</v>
      </c>
      <c r="B55" s="41" t="s">
        <v>16</v>
      </c>
      <c r="C55" s="13" t="s">
        <v>54</v>
      </c>
      <c r="D55" s="14" t="s">
        <v>100</v>
      </c>
      <c r="E55" s="15" t="s">
        <v>82</v>
      </c>
      <c r="F55" s="52">
        <v>89.43</v>
      </c>
      <c r="G55" s="16"/>
      <c r="H55" s="16">
        <f t="shared" si="14"/>
        <v>0</v>
      </c>
      <c r="I55" s="16">
        <f t="shared" si="15"/>
        <v>0</v>
      </c>
    </row>
    <row r="56" spans="1:9" ht="36" x14ac:dyDescent="0.25">
      <c r="A56" s="13" t="s">
        <v>142</v>
      </c>
      <c r="B56" s="41" t="s">
        <v>70</v>
      </c>
      <c r="C56" s="44">
        <v>94229</v>
      </c>
      <c r="D56" s="14" t="s">
        <v>93</v>
      </c>
      <c r="E56" s="15" t="s">
        <v>90</v>
      </c>
      <c r="F56" s="52">
        <v>17.96</v>
      </c>
      <c r="G56" s="16"/>
      <c r="H56" s="16">
        <f t="shared" si="14"/>
        <v>0</v>
      </c>
      <c r="I56" s="16">
        <f t="shared" si="15"/>
        <v>0</v>
      </c>
    </row>
    <row r="57" spans="1:9" ht="18.75" x14ac:dyDescent="0.25">
      <c r="A57" s="17"/>
      <c r="B57" s="17"/>
      <c r="C57" s="13"/>
      <c r="D57" s="18"/>
      <c r="E57" s="19"/>
      <c r="F57" s="52"/>
      <c r="G57" s="20"/>
      <c r="H57" s="20"/>
      <c r="I57" s="21"/>
    </row>
    <row r="58" spans="1:9" s="12" customFormat="1" ht="18" x14ac:dyDescent="0.25">
      <c r="A58" s="9" t="s">
        <v>143</v>
      </c>
      <c r="B58" s="9"/>
      <c r="C58" s="10"/>
      <c r="D58" s="11" t="s">
        <v>151</v>
      </c>
      <c r="E58" s="1"/>
      <c r="F58" s="51"/>
      <c r="G58" s="56" t="s">
        <v>14</v>
      </c>
      <c r="H58" s="57"/>
      <c r="I58" s="29">
        <f>SUM(I59:I59)</f>
        <v>0</v>
      </c>
    </row>
    <row r="59" spans="1:9" ht="54" x14ac:dyDescent="0.25">
      <c r="A59" s="13" t="s">
        <v>144</v>
      </c>
      <c r="B59" s="41" t="s">
        <v>16</v>
      </c>
      <c r="C59" s="13" t="s">
        <v>28</v>
      </c>
      <c r="D59" s="14" t="s">
        <v>103</v>
      </c>
      <c r="E59" s="15" t="s">
        <v>83</v>
      </c>
      <c r="F59" s="52">
        <v>0.39</v>
      </c>
      <c r="G59" s="16"/>
      <c r="H59" s="16">
        <f t="shared" ref="H59" si="16">IF(C59=0,"",ROUND(G59+G59*$I$6,2))</f>
        <v>0</v>
      </c>
      <c r="I59" s="16">
        <f t="shared" ref="I59" si="17">IF(C59=0,"",ROUND(F59*H59,2))</f>
        <v>0</v>
      </c>
    </row>
    <row r="60" spans="1:9" ht="18.75" x14ac:dyDescent="0.25">
      <c r="A60" s="17"/>
      <c r="B60" s="17"/>
      <c r="C60" s="13"/>
      <c r="D60" s="18"/>
      <c r="E60" s="19"/>
      <c r="F60" s="52"/>
      <c r="G60" s="20"/>
      <c r="H60" s="20"/>
      <c r="I60" s="21"/>
    </row>
    <row r="61" spans="1:9" s="12" customFormat="1" ht="18" x14ac:dyDescent="0.25">
      <c r="A61" s="9" t="s">
        <v>152</v>
      </c>
      <c r="B61" s="9"/>
      <c r="C61" s="10"/>
      <c r="D61" s="11" t="s">
        <v>170</v>
      </c>
      <c r="E61" s="1"/>
      <c r="F61" s="51"/>
      <c r="G61" s="56" t="s">
        <v>14</v>
      </c>
      <c r="H61" s="57"/>
      <c r="I61" s="29">
        <f>SUM(I62:I75)</f>
        <v>0</v>
      </c>
    </row>
    <row r="62" spans="1:9" ht="18" x14ac:dyDescent="0.25">
      <c r="A62" s="13" t="s">
        <v>153</v>
      </c>
      <c r="B62" s="13" t="s">
        <v>16</v>
      </c>
      <c r="C62" s="13" t="s">
        <v>240</v>
      </c>
      <c r="D62" s="55" t="s">
        <v>239</v>
      </c>
      <c r="E62" s="15" t="s">
        <v>81</v>
      </c>
      <c r="F62" s="52">
        <v>32.200000000000003</v>
      </c>
      <c r="G62" s="16"/>
      <c r="H62" s="16">
        <f t="shared" ref="H62:H71" si="18">IF(C62=0,"",ROUND(G62+G62*$I$6,2))</f>
        <v>0</v>
      </c>
      <c r="I62" s="16">
        <f t="shared" ref="I62:I71" si="19">IF(C62=0,"",ROUND(F62*H62,2))</f>
        <v>0</v>
      </c>
    </row>
    <row r="63" spans="1:9" ht="36" x14ac:dyDescent="0.25">
      <c r="A63" s="13" t="s">
        <v>154</v>
      </c>
      <c r="B63" s="13" t="s">
        <v>16</v>
      </c>
      <c r="C63" s="13" t="s">
        <v>48</v>
      </c>
      <c r="D63" s="14" t="s">
        <v>49</v>
      </c>
      <c r="E63" s="15" t="s">
        <v>81</v>
      </c>
      <c r="F63" s="52">
        <v>31</v>
      </c>
      <c r="G63" s="16"/>
      <c r="H63" s="16">
        <f t="shared" si="18"/>
        <v>0</v>
      </c>
      <c r="I63" s="16">
        <f t="shared" si="19"/>
        <v>0</v>
      </c>
    </row>
    <row r="64" spans="1:9" ht="18" x14ac:dyDescent="0.25">
      <c r="A64" s="13" t="s">
        <v>155</v>
      </c>
      <c r="B64" s="13" t="s">
        <v>16</v>
      </c>
      <c r="C64" s="13" t="s">
        <v>38</v>
      </c>
      <c r="D64" s="14" t="s">
        <v>39</v>
      </c>
      <c r="E64" s="15" t="s">
        <v>81</v>
      </c>
      <c r="F64" s="52">
        <v>91.56</v>
      </c>
      <c r="G64" s="16"/>
      <c r="H64" s="16">
        <f t="shared" si="18"/>
        <v>0</v>
      </c>
      <c r="I64" s="16">
        <f t="shared" si="19"/>
        <v>0</v>
      </c>
    </row>
    <row r="65" spans="1:9" ht="36" x14ac:dyDescent="0.25">
      <c r="A65" s="13" t="s">
        <v>156</v>
      </c>
      <c r="B65" s="13" t="s">
        <v>16</v>
      </c>
      <c r="C65" s="13" t="s">
        <v>101</v>
      </c>
      <c r="D65" s="14" t="s">
        <v>102</v>
      </c>
      <c r="E65" s="15" t="s">
        <v>81</v>
      </c>
      <c r="F65" s="52">
        <v>91.56</v>
      </c>
      <c r="G65" s="16"/>
      <c r="H65" s="16">
        <f t="shared" si="18"/>
        <v>0</v>
      </c>
      <c r="I65" s="16">
        <f t="shared" si="19"/>
        <v>0</v>
      </c>
    </row>
    <row r="66" spans="1:9" ht="72" x14ac:dyDescent="0.25">
      <c r="A66" s="13" t="s">
        <v>157</v>
      </c>
      <c r="B66" s="13" t="s">
        <v>16</v>
      </c>
      <c r="C66" s="44" t="s">
        <v>27</v>
      </c>
      <c r="D66" s="14" t="s">
        <v>106</v>
      </c>
      <c r="E66" s="15" t="s">
        <v>84</v>
      </c>
      <c r="F66" s="52">
        <v>1</v>
      </c>
      <c r="G66" s="16"/>
      <c r="H66" s="16">
        <f t="shared" si="18"/>
        <v>0</v>
      </c>
      <c r="I66" s="16">
        <f t="shared" si="19"/>
        <v>0</v>
      </c>
    </row>
    <row r="67" spans="1:9" ht="72" x14ac:dyDescent="0.25">
      <c r="A67" s="13" t="s">
        <v>158</v>
      </c>
      <c r="B67" s="13" t="s">
        <v>16</v>
      </c>
      <c r="C67" s="13" t="s">
        <v>26</v>
      </c>
      <c r="D67" s="14" t="s">
        <v>241</v>
      </c>
      <c r="E67" s="15" t="s">
        <v>84</v>
      </c>
      <c r="F67" s="52">
        <v>1</v>
      </c>
      <c r="G67" s="16"/>
      <c r="H67" s="16">
        <f t="shared" si="18"/>
        <v>0</v>
      </c>
      <c r="I67" s="16">
        <f t="shared" si="19"/>
        <v>0</v>
      </c>
    </row>
    <row r="68" spans="1:9" ht="54" x14ac:dyDescent="0.25">
      <c r="A68" s="13" t="s">
        <v>159</v>
      </c>
      <c r="B68" s="13" t="s">
        <v>70</v>
      </c>
      <c r="C68" s="13">
        <v>90830</v>
      </c>
      <c r="D68" s="14" t="s">
        <v>94</v>
      </c>
      <c r="E68" s="15" t="s">
        <v>5</v>
      </c>
      <c r="F68" s="52">
        <v>1</v>
      </c>
      <c r="G68" s="16"/>
      <c r="H68" s="16">
        <f t="shared" si="18"/>
        <v>0</v>
      </c>
      <c r="I68" s="16">
        <f t="shared" si="19"/>
        <v>0</v>
      </c>
    </row>
    <row r="69" spans="1:9" ht="18" x14ac:dyDescent="0.25">
      <c r="A69" s="13" t="s">
        <v>171</v>
      </c>
      <c r="B69" s="13" t="s">
        <v>16</v>
      </c>
      <c r="C69" s="44" t="s">
        <v>243</v>
      </c>
      <c r="D69" s="14" t="s">
        <v>242</v>
      </c>
      <c r="E69" s="15" t="s">
        <v>84</v>
      </c>
      <c r="F69" s="52">
        <v>18</v>
      </c>
      <c r="G69" s="16"/>
      <c r="H69" s="16">
        <f t="shared" si="18"/>
        <v>0</v>
      </c>
      <c r="I69" s="16">
        <f t="shared" si="19"/>
        <v>0</v>
      </c>
    </row>
    <row r="70" spans="1:9" ht="36" x14ac:dyDescent="0.25">
      <c r="A70" s="13" t="s">
        <v>172</v>
      </c>
      <c r="B70" s="13" t="s">
        <v>71</v>
      </c>
      <c r="C70" s="44">
        <v>11520</v>
      </c>
      <c r="D70" s="14" t="s">
        <v>244</v>
      </c>
      <c r="E70" s="15" t="s">
        <v>245</v>
      </c>
      <c r="F70" s="52">
        <v>6</v>
      </c>
      <c r="G70" s="16"/>
      <c r="H70" s="16">
        <f t="shared" si="18"/>
        <v>0</v>
      </c>
      <c r="I70" s="16">
        <f t="shared" si="19"/>
        <v>0</v>
      </c>
    </row>
    <row r="71" spans="1:9" ht="54" x14ac:dyDescent="0.25">
      <c r="A71" s="13" t="s">
        <v>173</v>
      </c>
      <c r="B71" s="13" t="s">
        <v>70</v>
      </c>
      <c r="C71" s="44">
        <v>94569</v>
      </c>
      <c r="D71" s="14" t="s">
        <v>246</v>
      </c>
      <c r="E71" s="15" t="s">
        <v>91</v>
      </c>
      <c r="F71" s="52">
        <v>1.4</v>
      </c>
      <c r="G71" s="16"/>
      <c r="H71" s="16">
        <f t="shared" si="18"/>
        <v>0</v>
      </c>
      <c r="I71" s="16">
        <f t="shared" si="19"/>
        <v>0</v>
      </c>
    </row>
    <row r="72" spans="1:9" ht="36" x14ac:dyDescent="0.25">
      <c r="A72" s="13" t="s">
        <v>248</v>
      </c>
      <c r="B72" s="13" t="s">
        <v>70</v>
      </c>
      <c r="C72" s="44">
        <v>94589</v>
      </c>
      <c r="D72" s="14" t="s">
        <v>247</v>
      </c>
      <c r="E72" s="15" t="s">
        <v>90</v>
      </c>
      <c r="F72" s="52">
        <v>8</v>
      </c>
      <c r="G72" s="16"/>
      <c r="H72" s="16">
        <f t="shared" ref="H72:H75" si="20">IF(C72=0,"",ROUND(G72+G72*$I$6,2))</f>
        <v>0</v>
      </c>
      <c r="I72" s="16">
        <f t="shared" ref="I72:I75" si="21">IF(C72=0,"",ROUND(F72*H72,2))</f>
        <v>0</v>
      </c>
    </row>
    <row r="73" spans="1:9" ht="36" x14ac:dyDescent="0.25">
      <c r="A73" s="13" t="s">
        <v>249</v>
      </c>
      <c r="B73" s="13" t="s">
        <v>70</v>
      </c>
      <c r="C73" s="44">
        <v>91338</v>
      </c>
      <c r="D73" s="14" t="s">
        <v>95</v>
      </c>
      <c r="E73" s="15" t="s">
        <v>91</v>
      </c>
      <c r="F73" s="52">
        <v>1.7</v>
      </c>
      <c r="G73" s="16"/>
      <c r="H73" s="16">
        <f t="shared" si="20"/>
        <v>0</v>
      </c>
      <c r="I73" s="16">
        <f t="shared" si="21"/>
        <v>0</v>
      </c>
    </row>
    <row r="74" spans="1:9" ht="54" x14ac:dyDescent="0.25">
      <c r="A74" s="13" t="s">
        <v>250</v>
      </c>
      <c r="B74" s="13" t="s">
        <v>77</v>
      </c>
      <c r="C74" s="44" t="s">
        <v>177</v>
      </c>
      <c r="D74" s="14" t="s">
        <v>252</v>
      </c>
      <c r="E74" s="15" t="s">
        <v>5</v>
      </c>
      <c r="F74" s="52">
        <v>2</v>
      </c>
      <c r="G74" s="16"/>
      <c r="H74" s="16">
        <f t="shared" si="20"/>
        <v>0</v>
      </c>
      <c r="I74" s="16">
        <f t="shared" si="21"/>
        <v>0</v>
      </c>
    </row>
    <row r="75" spans="1:9" ht="36" x14ac:dyDescent="0.25">
      <c r="A75" s="13" t="s">
        <v>251</v>
      </c>
      <c r="B75" s="13" t="s">
        <v>77</v>
      </c>
      <c r="C75" s="44" t="s">
        <v>190</v>
      </c>
      <c r="D75" s="14" t="s">
        <v>178</v>
      </c>
      <c r="E75" s="15" t="s">
        <v>81</v>
      </c>
      <c r="F75" s="52">
        <v>31</v>
      </c>
      <c r="G75" s="16"/>
      <c r="H75" s="16">
        <f t="shared" si="20"/>
        <v>0</v>
      </c>
      <c r="I75" s="16">
        <f t="shared" si="21"/>
        <v>0</v>
      </c>
    </row>
    <row r="76" spans="1:9" ht="18.75" x14ac:dyDescent="0.25">
      <c r="A76" s="17"/>
      <c r="B76" s="17"/>
      <c r="C76" s="13"/>
      <c r="D76" s="18"/>
      <c r="E76" s="19"/>
      <c r="F76" s="52"/>
      <c r="G76" s="20"/>
      <c r="H76" s="20"/>
      <c r="I76" s="21"/>
    </row>
    <row r="77" spans="1:9" s="12" customFormat="1" ht="18" x14ac:dyDescent="0.25">
      <c r="A77" s="9" t="s">
        <v>160</v>
      </c>
      <c r="B77" s="9"/>
      <c r="C77" s="10"/>
      <c r="D77" s="11" t="s">
        <v>175</v>
      </c>
      <c r="E77" s="1"/>
      <c r="F77" s="51"/>
      <c r="G77" s="56" t="s">
        <v>14</v>
      </c>
      <c r="H77" s="57"/>
      <c r="I77" s="29">
        <f>SUM(I78:I84)</f>
        <v>0</v>
      </c>
    </row>
    <row r="78" spans="1:9" ht="18" x14ac:dyDescent="0.25">
      <c r="A78" s="13" t="s">
        <v>161</v>
      </c>
      <c r="B78" s="41" t="s">
        <v>16</v>
      </c>
      <c r="C78" s="13" t="s">
        <v>36</v>
      </c>
      <c r="D78" s="14" t="s">
        <v>37</v>
      </c>
      <c r="E78" s="15" t="s">
        <v>81</v>
      </c>
      <c r="F78" s="52">
        <v>991.89</v>
      </c>
      <c r="G78" s="16"/>
      <c r="H78" s="16">
        <f t="shared" ref="H78:H84" si="22">IF(C78=0,"",ROUND(G78+G78*$I$6,2))</f>
        <v>0</v>
      </c>
      <c r="I78" s="16">
        <f t="shared" ref="I78:I84" si="23">IF(C78=0,"",ROUND(F78*H78,2))</f>
        <v>0</v>
      </c>
    </row>
    <row r="79" spans="1:9" ht="18" x14ac:dyDescent="0.25">
      <c r="A79" s="13" t="s">
        <v>162</v>
      </c>
      <c r="B79" s="41" t="s">
        <v>16</v>
      </c>
      <c r="C79" s="13" t="s">
        <v>40</v>
      </c>
      <c r="D79" s="14" t="s">
        <v>41</v>
      </c>
      <c r="E79" s="15" t="s">
        <v>81</v>
      </c>
      <c r="F79" s="52">
        <v>271.22000000000003</v>
      </c>
      <c r="G79" s="16"/>
      <c r="H79" s="16">
        <f t="shared" si="22"/>
        <v>0</v>
      </c>
      <c r="I79" s="16">
        <f t="shared" si="23"/>
        <v>0</v>
      </c>
    </row>
    <row r="80" spans="1:9" ht="36" x14ac:dyDescent="0.25">
      <c r="A80" s="13" t="s">
        <v>163</v>
      </c>
      <c r="B80" s="41" t="s">
        <v>16</v>
      </c>
      <c r="C80" s="13" t="s">
        <v>42</v>
      </c>
      <c r="D80" s="14" t="s">
        <v>43</v>
      </c>
      <c r="E80" s="15" t="s">
        <v>81</v>
      </c>
      <c r="F80" s="52">
        <v>1018.07</v>
      </c>
      <c r="G80" s="16"/>
      <c r="H80" s="16">
        <f t="shared" si="22"/>
        <v>0</v>
      </c>
      <c r="I80" s="16">
        <f t="shared" si="23"/>
        <v>0</v>
      </c>
    </row>
    <row r="81" spans="1:9" ht="36" x14ac:dyDescent="0.25">
      <c r="A81" s="13" t="s">
        <v>164</v>
      </c>
      <c r="B81" s="41" t="s">
        <v>16</v>
      </c>
      <c r="C81" s="13" t="s">
        <v>44</v>
      </c>
      <c r="D81" s="14" t="s">
        <v>45</v>
      </c>
      <c r="E81" s="15" t="s">
        <v>81</v>
      </c>
      <c r="F81" s="52">
        <v>271.22000000000003</v>
      </c>
      <c r="G81" s="16"/>
      <c r="H81" s="16">
        <f t="shared" si="22"/>
        <v>0</v>
      </c>
      <c r="I81" s="16">
        <f t="shared" si="23"/>
        <v>0</v>
      </c>
    </row>
    <row r="82" spans="1:9" ht="36" x14ac:dyDescent="0.25">
      <c r="A82" s="13" t="s">
        <v>165</v>
      </c>
      <c r="B82" s="41" t="s">
        <v>16</v>
      </c>
      <c r="C82" s="13" t="s">
        <v>50</v>
      </c>
      <c r="D82" s="14" t="s">
        <v>51</v>
      </c>
      <c r="E82" s="15" t="s">
        <v>81</v>
      </c>
      <c r="F82" s="52">
        <v>1050.92</v>
      </c>
      <c r="G82" s="16"/>
      <c r="H82" s="16">
        <f t="shared" si="22"/>
        <v>0</v>
      </c>
      <c r="I82" s="16">
        <f t="shared" si="23"/>
        <v>0</v>
      </c>
    </row>
    <row r="83" spans="1:9" ht="36" x14ac:dyDescent="0.25">
      <c r="A83" s="13" t="s">
        <v>166</v>
      </c>
      <c r="B83" s="41" t="s">
        <v>16</v>
      </c>
      <c r="C83" s="13" t="s">
        <v>52</v>
      </c>
      <c r="D83" s="14" t="s">
        <v>53</v>
      </c>
      <c r="E83" s="15" t="s">
        <v>81</v>
      </c>
      <c r="F83" s="52">
        <v>271.22000000000003</v>
      </c>
      <c r="G83" s="16"/>
      <c r="H83" s="16">
        <f t="shared" si="22"/>
        <v>0</v>
      </c>
      <c r="I83" s="16">
        <f t="shared" si="23"/>
        <v>0</v>
      </c>
    </row>
    <row r="84" spans="1:9" ht="36" x14ac:dyDescent="0.25">
      <c r="A84" s="13" t="s">
        <v>167</v>
      </c>
      <c r="B84" s="41" t="s">
        <v>16</v>
      </c>
      <c r="C84" s="13" t="s">
        <v>46</v>
      </c>
      <c r="D84" s="14" t="s">
        <v>47</v>
      </c>
      <c r="E84" s="15" t="s">
        <v>81</v>
      </c>
      <c r="F84" s="52">
        <v>37.590000000000003</v>
      </c>
      <c r="G84" s="16"/>
      <c r="H84" s="16">
        <f t="shared" si="22"/>
        <v>0</v>
      </c>
      <c r="I84" s="16">
        <f t="shared" si="23"/>
        <v>0</v>
      </c>
    </row>
    <row r="85" spans="1:9" ht="18.75" x14ac:dyDescent="0.25">
      <c r="A85" s="17"/>
      <c r="B85" s="17"/>
      <c r="C85" s="13"/>
      <c r="D85" s="18"/>
      <c r="E85" s="19"/>
      <c r="F85" s="52"/>
      <c r="G85" s="20"/>
      <c r="H85" s="20"/>
      <c r="I85" s="21"/>
    </row>
    <row r="86" spans="1:9" s="12" customFormat="1" ht="18" x14ac:dyDescent="0.25">
      <c r="A86" s="9" t="s">
        <v>168</v>
      </c>
      <c r="B86" s="9"/>
      <c r="C86" s="10"/>
      <c r="D86" s="11" t="s">
        <v>66</v>
      </c>
      <c r="E86" s="1"/>
      <c r="F86" s="51"/>
      <c r="G86" s="56" t="s">
        <v>14</v>
      </c>
      <c r="H86" s="57"/>
      <c r="I86" s="29">
        <f>SUM(I87:I87)</f>
        <v>0</v>
      </c>
    </row>
    <row r="87" spans="1:9" ht="18" x14ac:dyDescent="0.25">
      <c r="A87" s="13" t="s">
        <v>169</v>
      </c>
      <c r="B87" s="41" t="s">
        <v>16</v>
      </c>
      <c r="C87" s="13" t="s">
        <v>254</v>
      </c>
      <c r="D87" s="14" t="s">
        <v>253</v>
      </c>
      <c r="E87" s="15" t="s">
        <v>81</v>
      </c>
      <c r="F87" s="52">
        <v>2.88</v>
      </c>
      <c r="G87" s="16"/>
      <c r="H87" s="16">
        <f t="shared" ref="H87" si="24">IF(C87=0,"",ROUND(G87+G87*$I$6,2))</f>
        <v>0</v>
      </c>
      <c r="I87" s="16">
        <f t="shared" ref="I87" si="25">IF(C87=0,"",ROUND(F87*H87,2))</f>
        <v>0</v>
      </c>
    </row>
    <row r="88" spans="1:9" ht="23.25" x14ac:dyDescent="0.35">
      <c r="A88" s="22"/>
      <c r="B88" s="22"/>
      <c r="C88" s="23"/>
      <c r="D88" s="24" t="s">
        <v>15</v>
      </c>
      <c r="E88" s="25"/>
      <c r="F88" s="53"/>
      <c r="G88" s="26"/>
      <c r="H88" s="26"/>
      <c r="I88" s="26">
        <f>I9+I12+I22+I31+I47+I53+I58+I61+I77+I86</f>
        <v>0</v>
      </c>
    </row>
    <row r="91" spans="1:9" ht="18" x14ac:dyDescent="0.25">
      <c r="D91" s="42"/>
    </row>
    <row r="92" spans="1:9" ht="18" x14ac:dyDescent="0.25">
      <c r="D92" s="43" t="s">
        <v>255</v>
      </c>
      <c r="G92" s="27"/>
    </row>
    <row r="93" spans="1:9" ht="18" x14ac:dyDescent="0.25">
      <c r="D93" s="43" t="s">
        <v>109</v>
      </c>
    </row>
    <row r="94" spans="1:9" ht="18" x14ac:dyDescent="0.25">
      <c r="D94" s="43" t="s">
        <v>192</v>
      </c>
    </row>
    <row r="96" spans="1:9" x14ac:dyDescent="0.25">
      <c r="G96" s="27"/>
    </row>
  </sheetData>
  <mergeCells count="22">
    <mergeCell ref="A5:E5"/>
    <mergeCell ref="F5:F7"/>
    <mergeCell ref="G5:G7"/>
    <mergeCell ref="A6:E6"/>
    <mergeCell ref="H6:H7"/>
    <mergeCell ref="A1:I1"/>
    <mergeCell ref="A2:F2"/>
    <mergeCell ref="G2:I2"/>
    <mergeCell ref="A4:E4"/>
    <mergeCell ref="F4:I4"/>
    <mergeCell ref="G86:H86"/>
    <mergeCell ref="I6:I7"/>
    <mergeCell ref="A7:E7"/>
    <mergeCell ref="G9:H9"/>
    <mergeCell ref="G12:H12"/>
    <mergeCell ref="G22:H22"/>
    <mergeCell ref="G31:H31"/>
    <mergeCell ref="G47:H47"/>
    <mergeCell ref="G53:H53"/>
    <mergeCell ref="G58:H58"/>
    <mergeCell ref="G61:H61"/>
    <mergeCell ref="G77:H77"/>
  </mergeCells>
  <phoneticPr fontId="18" type="noConversion"/>
  <dataValidations disablePrompts="1" count="1">
    <dataValidation type="list" allowBlank="1" showInputMessage="1" showErrorMessage="1" sqref="B78:B84 B54:B56 B87 B10 B23:B29 B13:B20 B48:B51 B59 B32:B45 B62:B75">
      <formula1>$P$2:$P$5</formula1>
    </dataValidation>
  </dataValidations>
  <pageMargins left="0.51181102362204722" right="0.51181102362204722" top="0.78740157480314965" bottom="0.78740157480314965" header="0.31496062992125984" footer="0.31496062992125984"/>
  <pageSetup paperSize="9" scale="54" orientation="landscape" r:id="rId1"/>
  <headerFooter>
    <oddFooter>Página &amp;P de &amp;N</oddFooter>
  </headerFooter>
  <drawing r:id="rId2"/>
  <legacyDrawing r:id="rId3"/>
  <oleObjects>
    <mc:AlternateContent xmlns:mc="http://schemas.openxmlformats.org/markup-compatibility/2006">
      <mc:Choice Requires="x14">
        <oleObject shapeId="5121" r:id="rId4">
          <objectPr defaultSize="0" autoPict="0" r:id="rId5">
            <anchor moveWithCells="1" sizeWithCells="1">
              <from>
                <xdr:col>1</xdr:col>
                <xdr:colOff>200025</xdr:colOff>
                <xdr:row>0</xdr:row>
                <xdr:rowOff>38100</xdr:rowOff>
              </from>
              <to>
                <xdr:col>2</xdr:col>
                <xdr:colOff>323850</xdr:colOff>
                <xdr:row>0</xdr:row>
                <xdr:rowOff>895350</xdr:rowOff>
              </to>
            </anchor>
          </objectPr>
        </oleObject>
      </mc:Choice>
      <mc:Fallback>
        <oleObject shapeId="512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9"/>
  <sheetViews>
    <sheetView zoomScaleNormal="100" workbookViewId="0">
      <selection activeCell="H15" sqref="H15"/>
    </sheetView>
  </sheetViews>
  <sheetFormatPr defaultRowHeight="15" x14ac:dyDescent="0.25"/>
  <cols>
    <col min="1" max="1" width="13.42578125" style="49" bestFit="1" customWidth="1"/>
    <col min="2" max="2" width="17" style="49" customWidth="1"/>
    <col min="3" max="3" width="68" style="49" customWidth="1"/>
    <col min="4" max="4" width="9.5703125" style="49" customWidth="1"/>
    <col min="5" max="5" width="9.7109375" style="49" customWidth="1"/>
    <col min="6" max="6" width="11.140625" style="49" customWidth="1"/>
    <col min="7" max="7" width="12.85546875" style="49" bestFit="1" customWidth="1"/>
    <col min="8" max="16384" width="9.140625" style="49"/>
  </cols>
  <sheetData>
    <row r="2" spans="1:12" ht="31.5" x14ac:dyDescent="0.5">
      <c r="A2" s="75" t="s">
        <v>74</v>
      </c>
      <c r="B2" s="75"/>
      <c r="C2" s="75"/>
      <c r="D2" s="75"/>
      <c r="E2" s="75"/>
      <c r="F2" s="75"/>
      <c r="G2" s="75"/>
    </row>
    <row r="3" spans="1:12" ht="31.5" x14ac:dyDescent="0.5">
      <c r="A3" s="30"/>
      <c r="B3" s="30"/>
      <c r="C3" s="31"/>
      <c r="D3" s="30"/>
      <c r="E3" s="30"/>
      <c r="F3" s="30"/>
      <c r="L3" s="49" t="s">
        <v>16</v>
      </c>
    </row>
    <row r="4" spans="1:12" s="32" customFormat="1" x14ac:dyDescent="0.25">
      <c r="A4" s="76" t="s">
        <v>181</v>
      </c>
      <c r="B4" s="76"/>
      <c r="C4" s="76"/>
      <c r="D4" s="76"/>
      <c r="E4" s="76"/>
      <c r="F4" s="76"/>
      <c r="G4" s="76"/>
      <c r="L4" s="49" t="s">
        <v>70</v>
      </c>
    </row>
    <row r="5" spans="1:12" s="32" customFormat="1" x14ac:dyDescent="0.25">
      <c r="A5" s="77" t="s">
        <v>182</v>
      </c>
      <c r="B5" s="77"/>
      <c r="C5" s="77"/>
      <c r="D5" s="77"/>
      <c r="E5" s="77"/>
      <c r="F5" s="77"/>
      <c r="G5" s="77"/>
      <c r="L5" s="49" t="s">
        <v>71</v>
      </c>
    </row>
    <row r="7" spans="1:12" x14ac:dyDescent="0.25">
      <c r="A7" s="33" t="s">
        <v>67</v>
      </c>
      <c r="B7" s="33" t="s">
        <v>0</v>
      </c>
      <c r="C7" s="33" t="s">
        <v>68</v>
      </c>
      <c r="D7" s="33" t="s">
        <v>1</v>
      </c>
      <c r="E7" s="33" t="s">
        <v>75</v>
      </c>
      <c r="F7" s="33" t="s">
        <v>76</v>
      </c>
      <c r="G7" s="33" t="s">
        <v>80</v>
      </c>
    </row>
    <row r="8" spans="1:12" ht="30" x14ac:dyDescent="0.25">
      <c r="A8" s="34" t="s">
        <v>77</v>
      </c>
      <c r="B8" s="34" t="s">
        <v>78</v>
      </c>
      <c r="C8" s="35" t="s">
        <v>183</v>
      </c>
      <c r="D8" s="34" t="s">
        <v>5</v>
      </c>
      <c r="E8" s="36">
        <v>1</v>
      </c>
      <c r="F8" s="34"/>
      <c r="G8" s="45">
        <f>SUM(G9:G12)</f>
        <v>175.98</v>
      </c>
    </row>
    <row r="9" spans="1:12" ht="45" x14ac:dyDescent="0.25">
      <c r="A9" s="33" t="s">
        <v>71</v>
      </c>
      <c r="B9" s="37">
        <v>4351</v>
      </c>
      <c r="C9" s="38" t="s">
        <v>184</v>
      </c>
      <c r="D9" s="39" t="s">
        <v>89</v>
      </c>
      <c r="E9" s="40">
        <v>6</v>
      </c>
      <c r="F9" s="40">
        <v>22.72</v>
      </c>
      <c r="G9" s="46">
        <f t="shared" ref="G9:G12" si="0">ROUND(E9*F9,2)</f>
        <v>136.32</v>
      </c>
    </row>
    <row r="10" spans="1:12" x14ac:dyDescent="0.25">
      <c r="A10" s="33" t="s">
        <v>71</v>
      </c>
      <c r="B10" s="37">
        <v>37329</v>
      </c>
      <c r="C10" s="38" t="s">
        <v>185</v>
      </c>
      <c r="D10" s="39" t="s">
        <v>186</v>
      </c>
      <c r="E10" s="40">
        <v>7.6499999999999999E-2</v>
      </c>
      <c r="F10" s="40">
        <v>85.33</v>
      </c>
      <c r="G10" s="46">
        <f t="shared" si="0"/>
        <v>6.53</v>
      </c>
    </row>
    <row r="11" spans="1:12" ht="15" customHeight="1" x14ac:dyDescent="0.25">
      <c r="A11" s="33" t="s">
        <v>70</v>
      </c>
      <c r="B11" s="37">
        <v>88267</v>
      </c>
      <c r="C11" s="38" t="s">
        <v>187</v>
      </c>
      <c r="D11" s="39" t="s">
        <v>92</v>
      </c>
      <c r="E11" s="40">
        <v>0.87880000000000003</v>
      </c>
      <c r="F11" s="40">
        <v>27.38</v>
      </c>
      <c r="G11" s="46">
        <f t="shared" si="0"/>
        <v>24.06</v>
      </c>
    </row>
    <row r="12" spans="1:12" x14ac:dyDescent="0.25">
      <c r="A12" s="33" t="s">
        <v>70</v>
      </c>
      <c r="B12" s="37">
        <v>88316</v>
      </c>
      <c r="C12" s="38" t="s">
        <v>3</v>
      </c>
      <c r="D12" s="39" t="s">
        <v>92</v>
      </c>
      <c r="E12" s="40">
        <v>0.44429999999999997</v>
      </c>
      <c r="F12" s="40">
        <v>20.41</v>
      </c>
      <c r="G12" s="46">
        <f t="shared" si="0"/>
        <v>9.07</v>
      </c>
    </row>
    <row r="13" spans="1:12" x14ac:dyDescent="0.25">
      <c r="A13" s="33"/>
      <c r="B13" s="37"/>
      <c r="C13" s="38"/>
      <c r="D13" s="39"/>
      <c r="E13" s="40"/>
      <c r="F13" s="40"/>
      <c r="G13" s="46"/>
    </row>
    <row r="14" spans="1:12" ht="45" x14ac:dyDescent="0.25">
      <c r="A14" s="34" t="s">
        <v>77</v>
      </c>
      <c r="B14" s="34" t="s">
        <v>177</v>
      </c>
      <c r="C14" s="35" t="s">
        <v>174</v>
      </c>
      <c r="D14" s="34" t="s">
        <v>5</v>
      </c>
      <c r="E14" s="36">
        <v>1</v>
      </c>
      <c r="F14" s="34"/>
      <c r="G14" s="45">
        <f>SUM(G15:G19)</f>
        <v>2170.2399999999998</v>
      </c>
    </row>
    <row r="15" spans="1:12" ht="60" x14ac:dyDescent="0.25">
      <c r="A15" s="33" t="s">
        <v>71</v>
      </c>
      <c r="B15" s="37">
        <v>3104</v>
      </c>
      <c r="C15" s="38" t="s">
        <v>145</v>
      </c>
      <c r="D15" s="39" t="s">
        <v>89</v>
      </c>
      <c r="E15" s="40">
        <v>2</v>
      </c>
      <c r="F15" s="40">
        <v>147.38999999999999</v>
      </c>
      <c r="G15" s="46">
        <f t="shared" ref="G15:G18" si="1">ROUND(E15*F15,2)</f>
        <v>294.77999999999997</v>
      </c>
    </row>
    <row r="16" spans="1:12" ht="30" x14ac:dyDescent="0.25">
      <c r="A16" s="33" t="s">
        <v>71</v>
      </c>
      <c r="B16" s="37">
        <v>11499</v>
      </c>
      <c r="C16" s="38" t="s">
        <v>146</v>
      </c>
      <c r="D16" s="39" t="s">
        <v>88</v>
      </c>
      <c r="E16" s="40">
        <v>2</v>
      </c>
      <c r="F16" s="40">
        <v>794.33</v>
      </c>
      <c r="G16" s="46">
        <f t="shared" si="1"/>
        <v>1588.66</v>
      </c>
    </row>
    <row r="17" spans="1:7" x14ac:dyDescent="0.25">
      <c r="A17" s="33" t="s">
        <v>70</v>
      </c>
      <c r="B17" s="37">
        <v>88316</v>
      </c>
      <c r="C17" s="38" t="s">
        <v>3</v>
      </c>
      <c r="D17" s="39" t="s">
        <v>92</v>
      </c>
      <c r="E17" s="40">
        <v>6.57</v>
      </c>
      <c r="F17" s="40">
        <v>20.41</v>
      </c>
      <c r="G17" s="46">
        <f t="shared" si="1"/>
        <v>134.09</v>
      </c>
    </row>
    <row r="18" spans="1:7" x14ac:dyDescent="0.25">
      <c r="A18" s="33" t="s">
        <v>70</v>
      </c>
      <c r="B18" s="37">
        <v>88325</v>
      </c>
      <c r="C18" s="38" t="s">
        <v>35</v>
      </c>
      <c r="D18" s="39" t="s">
        <v>92</v>
      </c>
      <c r="E18" s="40">
        <v>6.76</v>
      </c>
      <c r="F18" s="40">
        <v>22.59</v>
      </c>
      <c r="G18" s="46">
        <f t="shared" si="1"/>
        <v>152.71</v>
      </c>
    </row>
    <row r="19" spans="1:7" x14ac:dyDescent="0.25">
      <c r="A19" s="33"/>
      <c r="B19" s="37"/>
      <c r="C19" s="38" t="s">
        <v>87</v>
      </c>
      <c r="D19" s="39" t="s">
        <v>87</v>
      </c>
      <c r="E19" s="40"/>
      <c r="F19" s="40" t="s">
        <v>87</v>
      </c>
      <c r="G19" s="46"/>
    </row>
    <row r="20" spans="1:7" ht="30" x14ac:dyDescent="0.25">
      <c r="A20" s="34" t="s">
        <v>77</v>
      </c>
      <c r="B20" s="34" t="s">
        <v>190</v>
      </c>
      <c r="C20" s="35" t="s">
        <v>178</v>
      </c>
      <c r="D20" s="34" t="s">
        <v>81</v>
      </c>
      <c r="E20" s="36">
        <v>1</v>
      </c>
      <c r="F20" s="34"/>
      <c r="G20" s="45">
        <f>SUM(G21:G24)</f>
        <v>87.97</v>
      </c>
    </row>
    <row r="21" spans="1:7" x14ac:dyDescent="0.25">
      <c r="A21" s="33" t="s">
        <v>16</v>
      </c>
      <c r="B21" s="37" t="s">
        <v>33</v>
      </c>
      <c r="C21" s="38" t="s">
        <v>4</v>
      </c>
      <c r="D21" s="39" t="s">
        <v>86</v>
      </c>
      <c r="E21" s="40">
        <v>0.5</v>
      </c>
      <c r="F21" s="40">
        <v>28.16</v>
      </c>
      <c r="G21" s="46">
        <f t="shared" ref="G21:G24" si="2">ROUND(E21*F21,2)</f>
        <v>14.08</v>
      </c>
    </row>
    <row r="22" spans="1:7" x14ac:dyDescent="0.25">
      <c r="A22" s="33" t="s">
        <v>16</v>
      </c>
      <c r="B22" s="37" t="s">
        <v>34</v>
      </c>
      <c r="C22" s="38" t="s">
        <v>3</v>
      </c>
      <c r="D22" s="39" t="s">
        <v>86</v>
      </c>
      <c r="E22" s="40">
        <v>0.5</v>
      </c>
      <c r="F22" s="40">
        <v>20.420000000000002</v>
      </c>
      <c r="G22" s="46">
        <f t="shared" si="2"/>
        <v>10.210000000000001</v>
      </c>
    </row>
    <row r="23" spans="1:7" x14ac:dyDescent="0.25">
      <c r="A23" s="33" t="s">
        <v>71</v>
      </c>
      <c r="B23" s="37" t="s">
        <v>179</v>
      </c>
      <c r="C23" s="38" t="s">
        <v>180</v>
      </c>
      <c r="D23" s="39" t="s">
        <v>81</v>
      </c>
      <c r="E23" s="40">
        <v>1.1000000000000001</v>
      </c>
      <c r="F23" s="40">
        <f>AVERAGE(332.91/(2.1*3), 309/(2.1*3),379.99/(2.98*2.1))</f>
        <v>54.20371790774476</v>
      </c>
      <c r="G23" s="46">
        <f t="shared" si="2"/>
        <v>59.62</v>
      </c>
    </row>
    <row r="24" spans="1:7" x14ac:dyDescent="0.25">
      <c r="A24" s="33" t="s">
        <v>71</v>
      </c>
      <c r="B24" s="37">
        <v>39961</v>
      </c>
      <c r="C24" s="38" t="s">
        <v>188</v>
      </c>
      <c r="D24" s="39" t="s">
        <v>189</v>
      </c>
      <c r="E24" s="40">
        <v>0.2</v>
      </c>
      <c r="F24" s="40">
        <v>20.28</v>
      </c>
      <c r="G24" s="46">
        <f t="shared" si="2"/>
        <v>4.0599999999999996</v>
      </c>
    </row>
    <row r="26" spans="1:7" x14ac:dyDescent="0.25">
      <c r="C26" s="47"/>
    </row>
    <row r="27" spans="1:7" x14ac:dyDescent="0.25">
      <c r="C27" s="48" t="s">
        <v>191</v>
      </c>
    </row>
    <row r="28" spans="1:7" x14ac:dyDescent="0.25">
      <c r="C28" s="48" t="s">
        <v>109</v>
      </c>
    </row>
    <row r="29" spans="1:7" x14ac:dyDescent="0.25">
      <c r="C29" s="48" t="s">
        <v>192</v>
      </c>
    </row>
  </sheetData>
  <mergeCells count="3">
    <mergeCell ref="A2:G2"/>
    <mergeCell ref="A4:G4"/>
    <mergeCell ref="A5:G5"/>
  </mergeCells>
  <dataValidations disablePrompts="1" count="1">
    <dataValidation type="list" allowBlank="1" showInputMessage="1" showErrorMessage="1" sqref="A15:A19 A9:A13 A21:A24">
      <formula1>$L$3:$L$5</formula1>
    </dataValidation>
  </dataValidations>
  <pageMargins left="0.511811024" right="0.511811024" top="0.78740157499999996" bottom="0.78740157499999996" header="0.31496062000000002" footer="0.31496062000000002"/>
  <pageSetup paperSize="9" scale="74"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Y35"/>
  <sheetViews>
    <sheetView workbookViewId="0">
      <selection activeCell="M36" sqref="M36"/>
    </sheetView>
  </sheetViews>
  <sheetFormatPr defaultRowHeight="15" x14ac:dyDescent="0.25"/>
  <sheetData>
    <row r="3" spans="6:25" x14ac:dyDescent="0.25">
      <c r="S3">
        <f>(5.3+1.48+0.15+0.65+5.3)*3.5+2.78*1-(0.9*2.1*2)</f>
        <v>44.08</v>
      </c>
    </row>
    <row r="4" spans="6:25" x14ac:dyDescent="0.25">
      <c r="V4">
        <f>(3*2+2.6*2)*2.8-(0.8*2.1+2*0.8)</f>
        <v>28.079999999999995</v>
      </c>
    </row>
    <row r="5" spans="6:25" x14ac:dyDescent="0.25">
      <c r="O5">
        <f>(1.65*2+0.6*2)*2.8-(0.6*2.1)</f>
        <v>11.34</v>
      </c>
    </row>
    <row r="8" spans="6:25" x14ac:dyDescent="0.25">
      <c r="I8">
        <f>2.65*3.5+1.35*2.55</f>
        <v>12.717500000000001</v>
      </c>
      <c r="L8">
        <f>0.5*(2.65*3.5+1.35*2.55)</f>
        <v>6.3587500000000006</v>
      </c>
      <c r="N8">
        <f>(5.85*2+3.5*2)*2.8-(0.9*2.1+1.8*2.6)</f>
        <v>45.789999999999992</v>
      </c>
      <c r="Q8">
        <f>6.36 + 7.8 + 4.21 + 4 + 6.16 + 1.04 + 3.2 + 1.4 + 15.14 + 31.22</f>
        <v>80.53</v>
      </c>
    </row>
    <row r="9" spans="6:25" x14ac:dyDescent="0.25">
      <c r="F9">
        <f>(3.5*2+2.8*2)*2.8-(0.9*2.1*2+2*0.8)+(1.9*2+1.6*2)*2.8-(0.9*2.1+1*0.4+1*0.4)</f>
        <v>46.809999999999988</v>
      </c>
      <c r="T9">
        <f>(2*0.5+2*0.4)</f>
        <v>1.8</v>
      </c>
      <c r="W9">
        <f>(3.5*2+2.8*2)*2.8-(0.9*2.1*2+2*0.8)+(1.9*2+1.6*2)-(0.9*2.1+1*0.4+1*0.4)</f>
        <v>34.209999999999994</v>
      </c>
      <c r="Y9">
        <f>3.64 + 7 + 4.55</f>
        <v>15.190000000000001</v>
      </c>
    </row>
    <row r="10" spans="6:25" x14ac:dyDescent="0.25">
      <c r="I10">
        <f>2.55*4+0.95*2.65</f>
        <v>12.717499999999999</v>
      </c>
    </row>
    <row r="11" spans="6:25" x14ac:dyDescent="0.25">
      <c r="L11">
        <f>6.36 + 7.8</f>
        <v>14.16</v>
      </c>
      <c r="N11">
        <f>(2.8*2+1.3*2)*2.8-(0.8*2.1+1*0.4)</f>
        <v>20.879999999999995</v>
      </c>
    </row>
    <row r="12" spans="6:25" x14ac:dyDescent="0.25">
      <c r="F12">
        <f>(3.5*2+2.6*2)*2.8-(0.9*2.1+2*0.8)</f>
        <v>30.669999999999995</v>
      </c>
      <c r="I12">
        <f>0.95*1.2</f>
        <v>1.1399999999999999</v>
      </c>
      <c r="P12">
        <f>0.9*2.1*2</f>
        <v>3.7800000000000002</v>
      </c>
      <c r="R12">
        <f>(3.6*2+3.6*2)*1.7-(1.1*1.55)</f>
        <v>22.774999999999999</v>
      </c>
    </row>
    <row r="13" spans="6:25" x14ac:dyDescent="0.25">
      <c r="L13">
        <f>(3.5+0.15+0.8+0.8+0.15+3.5+0.15+1.47)*0.4</f>
        <v>4.2080000000000011</v>
      </c>
      <c r="U13">
        <f>(2.1+2.1+1.35)*2.8-1*0.4</f>
        <v>15.14</v>
      </c>
    </row>
    <row r="14" spans="6:25" x14ac:dyDescent="0.25">
      <c r="I14">
        <f>(0.8*2+1.3*2)*2.8-(1.3*2.1)</f>
        <v>9.0299999999999994</v>
      </c>
    </row>
    <row r="15" spans="6:25" x14ac:dyDescent="0.25">
      <c r="F15">
        <f>(3.5*2+2.65*2)*2.8-(0.9*2.1+2*0.8+0.9*2.1)</f>
        <v>29.059999999999995</v>
      </c>
      <c r="K15">
        <f>(2.1*2+1.45*2)*2.8-(0.8*2.1+0.8*0.4)</f>
        <v>17.88</v>
      </c>
      <c r="N15">
        <f>(0.15+3.5+0.15+1.5+0.15+2.6+0.15+1.5+0.15+1.2+0.15+1.3+0.15+0.6+0.15+0.6+0.15+1.4+0.15+1.4+0.15+3.5+0.15+0.5+0.5)*2.8-(1*0.8+0.8*2.1+0.8*2.1+1.1*2.1+0.8*2.1+0.8*2.1+0.8*2.1+0.8*2.1)</f>
        <v>48.129999999999995</v>
      </c>
      <c r="X15">
        <f>(3*2+1.5*2)*2.8-(0.8*2.1+1*0.8)</f>
        <v>22.72</v>
      </c>
    </row>
    <row r="16" spans="6:25" x14ac:dyDescent="0.25">
      <c r="S16">
        <f>1.1*2.1*2</f>
        <v>4.620000000000001</v>
      </c>
    </row>
    <row r="17" spans="6:25" x14ac:dyDescent="0.25">
      <c r="P17">
        <f>1 + 1 + 1 + 1 + 2 + 1 + 1 + 1 + 1 + 2 + 1 + 1 + 1 + 1 + 1 + 1</f>
        <v>18</v>
      </c>
      <c r="Q17">
        <f>2*0.8*2</f>
        <v>3.2</v>
      </c>
    </row>
    <row r="18" spans="6:25" x14ac:dyDescent="0.25">
      <c r="I18">
        <f>SUM(I10:I12)</f>
        <v>13.8575</v>
      </c>
      <c r="L18">
        <f>(3.5+3.6+0.15+1.8-0.9+3.5+0.15+3.6)*0.4</f>
        <v>6.16</v>
      </c>
      <c r="U18">
        <f>1.8 + 1.8 + 1.8</f>
        <v>5.4</v>
      </c>
      <c r="Y18">
        <f>2.56 + 5.52</f>
        <v>8.08</v>
      </c>
    </row>
    <row r="21" spans="6:25" x14ac:dyDescent="0.25">
      <c r="L21">
        <f>(1.8+0.15+1.7+2.35+0.15+2.8+0.15+0.15+3.5+0.15+1.8+2+1.8+0.15+3.5+0.15+0.15+2.8+0.15+1.6+0.15+2.6+0.15+2.1-0.9+1.5+2.65+0.65+0.15+3+0.15+0.15+2.8+0.15+0.8+0.15+0.15+0.15+0.15+1.4+0.15+1.4+0.1+0.15+0.15+2.9+0.15+1.7+0.15+0.15+3.5+0.15+2.4+2-1.2+2.4+0.15+3.5+0.15+0.15+5.85+0.15+1.85+0.15+1.1+1.7+0.15+1.8)*0.4</f>
        <v>31.219999999999995</v>
      </c>
      <c r="Q21">
        <f>2.4*2*0.08</f>
        <v>0.38400000000000001</v>
      </c>
    </row>
    <row r="22" spans="6:25" x14ac:dyDescent="0.25">
      <c r="F22">
        <f>(1.45*2+1.6*2)*2.8-(0.9*2.1+1*0.4)</f>
        <v>14.79</v>
      </c>
      <c r="I22">
        <f>(2.6*2+3.5*2)*2.8-(0.9*2.1+0.95*0.8)</f>
        <v>31.509999999999998</v>
      </c>
      <c r="O22">
        <f>4.21 + 4 + 6.16 + 1.04 + 3.2 + 31.22</f>
        <v>49.83</v>
      </c>
      <c r="U22">
        <f>2.8*1.3</f>
        <v>3.6399999999999997</v>
      </c>
    </row>
    <row r="23" spans="6:25" x14ac:dyDescent="0.25">
      <c r="K23">
        <f>(1.7*2+1.5*2)*2.8-(0.9*2.1+1*0.8)</f>
        <v>15.229999999999997</v>
      </c>
    </row>
    <row r="24" spans="6:25" x14ac:dyDescent="0.25">
      <c r="L24">
        <f>6.36 + 7.8 + 4.21 + 4 + 6.16 + 1.04 + 3.2 + 31.22</f>
        <v>63.99</v>
      </c>
      <c r="N24">
        <f>6.36 + 4.21 + 4 + 6.16 + 1.04 + 3.2 + 31.22</f>
        <v>56.19</v>
      </c>
    </row>
    <row r="25" spans="6:25" x14ac:dyDescent="0.25">
      <c r="F25">
        <f>(3.5*2+2.9*2)*2.8+(1.7*2+3.5*2)*2.8-(1.2*2.1+0.9*2.1+2*0.8)-(1*0.8+0.9*2.1)</f>
        <v>56.26</v>
      </c>
      <c r="O25">
        <f>6.36 + 7.8 + 4.21 + 4 + 6.16 + 1.04 + 3.2 + 31.22</f>
        <v>63.99</v>
      </c>
      <c r="S25">
        <f>1.4*2.1*2+1.1*2.1*2</f>
        <v>10.5</v>
      </c>
      <c r="W25">
        <f>(3.5+2.65+0.95+0.15+1.1+3.5+4)*2.8-(0.9*2.1+2*0.8)</f>
        <v>40.89</v>
      </c>
    </row>
    <row r="26" spans="6:25" x14ac:dyDescent="0.25">
      <c r="I26">
        <f>(1.85*2+3.5*2)*2.8-(0.9*2.1+1*0.8)</f>
        <v>27.269999999999996</v>
      </c>
    </row>
    <row r="27" spans="6:25" x14ac:dyDescent="0.25">
      <c r="U27">
        <f>1.89 + 0.2 + 0.2 + 0.2</f>
        <v>2.4900000000000002</v>
      </c>
    </row>
    <row r="28" spans="6:25" x14ac:dyDescent="0.25">
      <c r="F28">
        <f>(3.6*2+1.4*2)*2.8-(0.9*2.1+0.6*1.1)</f>
        <v>25.45</v>
      </c>
      <c r="L28">
        <f>5*3+4*4</f>
        <v>31</v>
      </c>
    </row>
    <row r="29" spans="6:25" x14ac:dyDescent="0.25">
      <c r="I29">
        <f>(5.85*2+3.5*2)*2.8-(0.9*2.1+2*0.8*2)</f>
        <v>47.269999999999996</v>
      </c>
      <c r="O29">
        <f>1 + 1 + 1 + 1 + 2 + 1 + 1 + 1 + 1 + 2 + 1 + 1 + 1 + 1 + 1 + 1</f>
        <v>18</v>
      </c>
    </row>
    <row r="30" spans="6:25" x14ac:dyDescent="0.25">
      <c r="F30">
        <f>(3.6*2+1.4*2)*2.8-(0.9*2.1+0.6*1.1)</f>
        <v>25.45</v>
      </c>
      <c r="R30">
        <f>1.1*2.1*2+1.1*2.1*2</f>
        <v>9.240000000000002</v>
      </c>
      <c r="U30">
        <f>(2.8*2+3.5*2)*2.8-(0.9*2.1+2*0.8)</f>
        <v>31.789999999999992</v>
      </c>
    </row>
    <row r="32" spans="6:25" x14ac:dyDescent="0.25">
      <c r="L32">
        <f>3.5*0.4</f>
        <v>1.4000000000000001</v>
      </c>
    </row>
    <row r="33" spans="6:21" x14ac:dyDescent="0.25">
      <c r="F33">
        <f>(3.6*2+1.4*2)*2.8-(0.8*2.1+0.6*1.1)</f>
        <v>25.66</v>
      </c>
      <c r="N33">
        <f>6.36 + 7.8 + 4.21 + 4 + 6.16 + 1.04 + 3.2 + 1.4 + 31.22</f>
        <v>65.39</v>
      </c>
      <c r="R33">
        <f>4.62 + 4.62 + 4.62 + 4.62 + 4.62 + 9.24 + 4.62 + 4.62 + 4.62 + 4.62 + 10.5 + 4.2 + 4.2 + 4.2 + 4.2 + 4.2 + 4.62 + 4.62</f>
        <v>91.560000000000016</v>
      </c>
      <c r="U33">
        <f>(3.5+2.65+0.95+0.15+1.1+3.5+400)*2.8-(0.9*2.1+2*0.8)</f>
        <v>1149.69</v>
      </c>
    </row>
    <row r="34" spans="6:21" x14ac:dyDescent="0.25">
      <c r="I34">
        <f>(7.65+2+7.6+0.15+1.48+0.15+0.15+2.65+0.15+1+8.4)*2.8+2.78*1-(0.9*2.1+1.2*2.1+0.9*2.1+0.9*2.1+0.9*2.1+0.9*2.1+0.9*2.1+0.9*2.1+0.9*2.1+0.9*2.1+0.9*2.1)</f>
        <v>69.223999999999975</v>
      </c>
    </row>
    <row r="35" spans="6:21" x14ac:dyDescent="0.25">
      <c r="L35">
        <f>(2*1+2*0.8)</f>
        <v>3.6</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Orçamento Completo - format (2)</vt:lpstr>
      <vt:lpstr>Planilha2</vt:lpstr>
      <vt:lpstr>Planilha1</vt:lpstr>
      <vt:lpstr>'Orçamento Completo - format (2)'!Area_de_impressao</vt:lpstr>
      <vt:lpstr>'Orçamento Completo - format (2)'!Titulos_de_impressao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Vivêncio Sathler</dc:creator>
  <cp:lastModifiedBy>MAIS TI</cp:lastModifiedBy>
  <cp:lastPrinted>2024-09-10T19:20:53Z</cp:lastPrinted>
  <dcterms:created xsi:type="dcterms:W3CDTF">2017-08-15T18:29:29Z</dcterms:created>
  <dcterms:modified xsi:type="dcterms:W3CDTF">2025-01-23T13:26:32Z</dcterms:modified>
</cp:coreProperties>
</file>