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24240" windowHeight="13740"/>
  </bookViews>
  <sheets>
    <sheet name="ORÇAMENTO COMPLETO" sheetId="21" r:id="rId1"/>
    <sheet name="COMPOSIÇÕES" sheetId="24" r:id="rId2"/>
    <sheet name="Planilha1" sheetId="25" r:id="rId3"/>
  </sheets>
  <definedNames>
    <definedName name="_xlnm._FilterDatabase" localSheetId="0" hidden="1">'ORÇAMENTO COMPLETO'!$A$1:$I$10</definedName>
    <definedName name="_xlnm.Print_Area" localSheetId="0">'ORÇAMENTO COMPLETO'!$A$1:$I$110</definedName>
    <definedName name="CONCATENAR" localSheetId="0">CONCATENATE(#REF!," ",#REF!)</definedName>
    <definedName name="CONCATENAR">CONCATENATE(#REF!," ",#REF!)</definedName>
    <definedName name="NCOMPOSICOES">3</definedName>
    <definedName name="NCOTACOES">15</definedName>
    <definedName name="_xlnm.Print_Titles" localSheetId="0">'ORÇAMENTO COMPLETO'!$1:$8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 i="25"/>
  <c r="P26"/>
  <c r="H82" i="21"/>
  <c r="I82" s="1"/>
  <c r="H68" l="1"/>
  <c r="I68" s="1"/>
  <c r="H67"/>
  <c r="I67" s="1"/>
  <c r="Z11" i="25"/>
  <c r="S14"/>
  <c r="K28"/>
  <c r="I35" i="21"/>
  <c r="D18" i="25"/>
  <c r="D12"/>
  <c r="E25"/>
  <c r="Q12"/>
  <c r="F21"/>
  <c r="S5"/>
  <c r="K4"/>
  <c r="I14"/>
  <c r="H66" i="21"/>
  <c r="I66" s="1"/>
  <c r="L12" i="25"/>
  <c r="M5"/>
  <c r="H7"/>
  <c r="F34" i="24"/>
  <c r="I60" i="21" l="1"/>
  <c r="G36" i="24"/>
  <c r="G35"/>
  <c r="G34"/>
  <c r="G33"/>
  <c r="G32"/>
  <c r="G31" l="1"/>
  <c r="H65" i="21"/>
  <c r="I65" s="1"/>
  <c r="I88" l="1"/>
  <c r="G17" i="24" l="1"/>
  <c r="G16"/>
  <c r="G15"/>
  <c r="G14"/>
  <c r="G13"/>
  <c r="F9" i="25"/>
  <c r="F28"/>
  <c r="O17"/>
  <c r="H34"/>
  <c r="L18"/>
  <c r="W28"/>
  <c r="H30"/>
  <c r="H81" i="21"/>
  <c r="I81" s="1"/>
  <c r="V30" i="25"/>
  <c r="H80" i="21"/>
  <c r="I80" s="1"/>
  <c r="H79"/>
  <c r="I79" s="1"/>
  <c r="H78"/>
  <c r="I78" s="1"/>
  <c r="L34" i="25"/>
  <c r="L30"/>
  <c r="L26"/>
  <c r="X21"/>
  <c r="G25"/>
  <c r="H33" i="21"/>
  <c r="I33" s="1"/>
  <c r="H32"/>
  <c r="I32" s="1"/>
  <c r="W10" i="25"/>
  <c r="H26" i="21"/>
  <c r="I26" s="1"/>
  <c r="I25"/>
  <c r="H25"/>
  <c r="V24" i="25"/>
  <c r="U10"/>
  <c r="J11"/>
  <c r="O6"/>
  <c r="Q8"/>
  <c r="T31"/>
  <c r="U16"/>
  <c r="H24" i="21"/>
  <c r="I24" s="1"/>
  <c r="S11" i="25"/>
  <c r="M9" l="1"/>
  <c r="P34"/>
  <c r="J8"/>
  <c r="H53" i="21"/>
  <c r="I53" s="1"/>
  <c r="H52"/>
  <c r="I52" s="1"/>
  <c r="H51"/>
  <c r="I51" s="1"/>
  <c r="H50"/>
  <c r="I50" s="1"/>
  <c r="H49"/>
  <c r="I49" s="1"/>
  <c r="H48"/>
  <c r="I48" s="1"/>
  <c r="H47"/>
  <c r="I47" s="1"/>
  <c r="G17" i="25"/>
  <c r="T25"/>
  <c r="Q31"/>
  <c r="Q27"/>
  <c r="S20"/>
  <c r="O12"/>
  <c r="O21"/>
  <c r="Q16"/>
  <c r="Q23"/>
  <c r="J34"/>
  <c r="M31"/>
  <c r="J31"/>
  <c r="N25"/>
  <c r="M23"/>
  <c r="H23" i="21"/>
  <c r="I23" s="1"/>
  <c r="M15" i="25"/>
  <c r="J26"/>
  <c r="J23"/>
  <c r="J20"/>
  <c r="J15" l="1"/>
  <c r="G27" i="24" l="1"/>
  <c r="G26"/>
  <c r="H101" i="21"/>
  <c r="I101" s="1"/>
  <c r="H100"/>
  <c r="I100" s="1"/>
  <c r="H98" l="1"/>
  <c r="I98" s="1"/>
  <c r="H99"/>
  <c r="I99" s="1"/>
  <c r="H97"/>
  <c r="I97" s="1"/>
  <c r="G12" i="24"/>
  <c r="G11"/>
  <c r="G10"/>
  <c r="G9"/>
  <c r="G8" s="1"/>
  <c r="H86" i="21"/>
  <c r="I86" s="1"/>
  <c r="H77"/>
  <c r="I77" s="1"/>
  <c r="H76"/>
  <c r="I76" s="1"/>
  <c r="H75"/>
  <c r="I75" s="1"/>
  <c r="H74"/>
  <c r="I74" s="1"/>
  <c r="H73"/>
  <c r="I73" s="1"/>
  <c r="H72"/>
  <c r="I72" s="1"/>
  <c r="I70" s="1"/>
  <c r="H64"/>
  <c r="I64" s="1"/>
  <c r="I96" l="1"/>
  <c r="H22"/>
  <c r="I22" s="1"/>
  <c r="H21"/>
  <c r="I21" s="1"/>
  <c r="H46" l="1"/>
  <c r="I46" s="1"/>
  <c r="H45"/>
  <c r="I45" s="1"/>
  <c r="H44"/>
  <c r="I44" s="1"/>
  <c r="H43"/>
  <c r="I43" s="1"/>
  <c r="H20"/>
  <c r="I20" s="1"/>
  <c r="G25" i="24" l="1"/>
  <c r="G24"/>
  <c r="G23"/>
  <c r="G22"/>
  <c r="G21" l="1"/>
  <c r="H94" i="21"/>
  <c r="I94" s="1"/>
  <c r="H93"/>
  <c r="I93" s="1"/>
  <c r="H92"/>
  <c r="I92" s="1"/>
  <c r="H91"/>
  <c r="I91" s="1"/>
  <c r="H90"/>
  <c r="I90" s="1"/>
  <c r="H89"/>
  <c r="I89" s="1"/>
  <c r="H85"/>
  <c r="I85" s="1"/>
  <c r="I84" s="1"/>
  <c r="H71"/>
  <c r="I71" s="1"/>
  <c r="H63"/>
  <c r="I63" s="1"/>
  <c r="H62"/>
  <c r="I62" s="1"/>
  <c r="H61"/>
  <c r="I61" s="1"/>
  <c r="H58"/>
  <c r="I58" s="1"/>
  <c r="H57"/>
  <c r="I57" s="1"/>
  <c r="H56"/>
  <c r="I56" s="1"/>
  <c r="H42"/>
  <c r="I42" s="1"/>
  <c r="H41"/>
  <c r="I41" s="1"/>
  <c r="H40"/>
  <c r="I40" s="1"/>
  <c r="H39"/>
  <c r="I39" s="1"/>
  <c r="H38"/>
  <c r="I38" s="1"/>
  <c r="H37"/>
  <c r="I37" s="1"/>
  <c r="H36"/>
  <c r="I36" s="1"/>
  <c r="H31"/>
  <c r="I31" s="1"/>
  <c r="H30"/>
  <c r="I30" s="1"/>
  <c r="H29"/>
  <c r="I29" s="1"/>
  <c r="H19"/>
  <c r="I19" s="1"/>
  <c r="H18"/>
  <c r="I18" s="1"/>
  <c r="H17"/>
  <c r="I17" s="1"/>
  <c r="H16"/>
  <c r="I16" s="1"/>
  <c r="H15"/>
  <c r="I15" s="1"/>
  <c r="H14"/>
  <c r="I14" s="1"/>
  <c r="H13"/>
  <c r="I13" s="1"/>
  <c r="I12" s="1"/>
  <c r="H10"/>
  <c r="I10" s="1"/>
  <c r="I104" l="1"/>
  <c r="I28"/>
  <c r="I55"/>
  <c r="I9"/>
</calcChain>
</file>

<file path=xl/sharedStrings.xml><?xml version="1.0" encoding="utf-8"?>
<sst xmlns="http://schemas.openxmlformats.org/spreadsheetml/2006/main" count="532" uniqueCount="316">
  <si>
    <t>CÓDIGO</t>
  </si>
  <si>
    <t>UNIDADE</t>
  </si>
  <si>
    <t>UN</t>
  </si>
  <si>
    <t>1.1</t>
  </si>
  <si>
    <t>FORMA DE EXECUÇÃO</t>
  </si>
  <si>
    <t>(    )</t>
  </si>
  <si>
    <t>DIRETA</t>
  </si>
  <si>
    <t>Indireta</t>
  </si>
  <si>
    <t>UNID</t>
  </si>
  <si>
    <t>QUANTIDADE</t>
  </si>
  <si>
    <t>PREÇO TOTAL</t>
  </si>
  <si>
    <t>TOTAL DO SUBITEM</t>
  </si>
  <si>
    <t>TOTAL</t>
  </si>
  <si>
    <t>SETOP</t>
  </si>
  <si>
    <t>(  x  )</t>
  </si>
  <si>
    <t>ED-48421</t>
  </si>
  <si>
    <t>ED-48501</t>
  </si>
  <si>
    <t>ED-48514</t>
  </si>
  <si>
    <t>ED-50223</t>
  </si>
  <si>
    <t>ED-50505</t>
  </si>
  <si>
    <t>LIXAMENTO MANUAL EM PAREDE PARA REMOÇÃO DE TINTA</t>
  </si>
  <si>
    <t>ED-50507</t>
  </si>
  <si>
    <t>LIXAMENTO MANUAL EM SUPERFÍCIE DE MADEIRA PARA REMOÇÃO DE TINTA</t>
  </si>
  <si>
    <t>ED-50506</t>
  </si>
  <si>
    <t>LIXAMENTO MANUAL EM TETO PARA REMOÇÃO DE TINTA</t>
  </si>
  <si>
    <t>ED-50451</t>
  </si>
  <si>
    <t>PINTURA ACRÍLICA EM PAREDE, DUAS (2) DEMÃOS, EXCLUSIVE SELADOR ACRÍLICO E MASSA ACRÍLICA/CORRIDA (PVA)</t>
  </si>
  <si>
    <t>ED-50452</t>
  </si>
  <si>
    <t>PINTURA ACRÍLICA EM TETO, DUAS (2) DEMÃOS, EXCLUSIVE SELADOR ACRÍLICO E MASSA ACRÍLICA/CORRIDA (PVA)</t>
  </si>
  <si>
    <t>ED-50497</t>
  </si>
  <si>
    <t>PINTURA ESMALTE EM ESTRUTURA METÁLICA, DUAS (2) DEMÃOS, INCLUSIVE UMA (1) DEMÃO FUNDO ANTICORROSIVO</t>
  </si>
  <si>
    <t>ED-50514</t>
  </si>
  <si>
    <t>PREPARAÇÃO PARA EMASSAMENTO OU PINTURA (LÁTEX/ACRÍLICA) EM PAREDE, INCLUSIVE UMA (1) DEMÃO DE SELADOR ACRÍLICO</t>
  </si>
  <si>
    <t>ED-50515</t>
  </si>
  <si>
    <t>PREPARAÇÃO PARA EMASSAMENTO OU PINTURA (LÁTEX/ACRÍLICA) EM TETO, INCLUSIVE UMA (1) DEMÃO DE SELADOR ACRÍLICO</t>
  </si>
  <si>
    <t>ED-50727</t>
  </si>
  <si>
    <t>ED-50761</t>
  </si>
  <si>
    <t>ED-9081</t>
  </si>
  <si>
    <t>REVESTIMENTO COM CERÂMICA APLICADO EM PAREDE, ACABAMENTO ESMALTADO, AMBIENTE INTERNO/EXTERNO, PADRÃO EXTRA, DIMENSÃO DA PEÇA ATÉ 2025 CM2, PEI III, ASSENTAMENTO COM ARGAMASSA INDUSTRIALIZADA, INCLUSIVE REJUNTAMENTO</t>
  </si>
  <si>
    <t>SERVIÇOS PRELIMINARES</t>
  </si>
  <si>
    <t>BDI</t>
  </si>
  <si>
    <t>PREÇO UNIT C/ BDI</t>
  </si>
  <si>
    <t>PREÇO UNIT S/ BDI</t>
  </si>
  <si>
    <t>INSTALAÇÕES ELÉTRICAS</t>
  </si>
  <si>
    <t>FONTE</t>
  </si>
  <si>
    <t>DESCRIÇÃO</t>
  </si>
  <si>
    <r>
      <t xml:space="preserve">ISS DO MUNICÍPIO: </t>
    </r>
    <r>
      <rPr>
        <sz val="12"/>
        <rFont val="Arial"/>
        <family val="2"/>
      </rPr>
      <t>3%</t>
    </r>
  </si>
  <si>
    <t>SINAPI</t>
  </si>
  <si>
    <t>SINAPI-I</t>
  </si>
  <si>
    <t>ITEM</t>
  </si>
  <si>
    <t>DESCRIÇÃO DO ITEM</t>
  </si>
  <si>
    <t>COMPOSIÇÕES</t>
  </si>
  <si>
    <t>COEF.</t>
  </si>
  <si>
    <t>CUSTO UNI.</t>
  </si>
  <si>
    <t>COMPOSIÇÃO</t>
  </si>
  <si>
    <t>COMPOS-001</t>
  </si>
  <si>
    <t>CUSTO TOTAL</t>
  </si>
  <si>
    <t>m2</t>
  </si>
  <si>
    <t>m</t>
  </si>
  <si>
    <t>m3</t>
  </si>
  <si>
    <t>un</t>
  </si>
  <si>
    <t>INSTALAÇÕES HIDROSSANITÁRIAS</t>
  </si>
  <si>
    <t>hora</t>
  </si>
  <si>
    <t>FECHADURA DE EMBUTIR COM CILINDRO, EXTERNA, COMPLETA, ACABAMENTO PADRÃO POPULAR, INCLUSO EXECUÇÃO DE FURO - FORNECIMENTO E INSTALAÇÃO. AF_12/2019</t>
  </si>
  <si>
    <t>ED-28427</t>
  </si>
  <si>
    <t>ED-28438</t>
  </si>
  <si>
    <t>PINTURA ESMALTE EM SUPERFÍCIE DE MADEIRA, DUAS (2) DEMÃOS, EXCLUSIVE FUNDO NIVELADOR E MASSA A ÓLEO</t>
  </si>
  <si>
    <t>REBOCO COM ARGAMASSA, TRAÇO 1:2:8 (CIMENTO, CAL E AREIA), ESP. 20MM, APLICAÇÃO MANUAL, INCLUSIVE ARGAMASSA COM PREPARO MECANIZADO, EXCLUSIVE CHAPISCO</t>
  </si>
  <si>
    <t>COBERTURA EM TELHA CERÂMICA, TIPO COLONIAL, INCLUSIVE FIXAÇÃO, EXCLUSIVE ENGRADAMENTO E MANTA ISOLANTE/TÉRMICA</t>
  </si>
  <si>
    <r>
      <t xml:space="preserve">CONTRATANTE: </t>
    </r>
    <r>
      <rPr>
        <sz val="12"/>
        <rFont val="Arial"/>
        <family val="2"/>
      </rPr>
      <t>MUNICÍPIO DE MUTUM - MG</t>
    </r>
  </si>
  <si>
    <t>ENGENHEIRO CIVIL</t>
  </si>
  <si>
    <t>2</t>
  </si>
  <si>
    <t>2.1</t>
  </si>
  <si>
    <t>2.2</t>
  </si>
  <si>
    <t>2.3</t>
  </si>
  <si>
    <t>2.4</t>
  </si>
  <si>
    <t>2.5</t>
  </si>
  <si>
    <t>2.6</t>
  </si>
  <si>
    <t>2.7</t>
  </si>
  <si>
    <t>3</t>
  </si>
  <si>
    <t>3.1</t>
  </si>
  <si>
    <t>3.2</t>
  </si>
  <si>
    <t>3.3</t>
  </si>
  <si>
    <t>4</t>
  </si>
  <si>
    <t>4.1</t>
  </si>
  <si>
    <t>4.2</t>
  </si>
  <si>
    <t>4.3</t>
  </si>
  <si>
    <t>4.4</t>
  </si>
  <si>
    <t>4.5</t>
  </si>
  <si>
    <t>4.6</t>
  </si>
  <si>
    <t>4.7</t>
  </si>
  <si>
    <t>5</t>
  </si>
  <si>
    <t>5.1</t>
  </si>
  <si>
    <t>5.2</t>
  </si>
  <si>
    <t>5.3</t>
  </si>
  <si>
    <t>6</t>
  </si>
  <si>
    <t>6.1</t>
  </si>
  <si>
    <t>6.2</t>
  </si>
  <si>
    <t>6.3</t>
  </si>
  <si>
    <t>7</t>
  </si>
  <si>
    <t>7.1</t>
  </si>
  <si>
    <r>
      <t xml:space="preserve">PRAZO DE EXECUÇÃO: </t>
    </r>
    <r>
      <rPr>
        <sz val="12"/>
        <rFont val="Arial"/>
        <family val="2"/>
      </rPr>
      <t>90 DIAS</t>
    </r>
  </si>
  <si>
    <t>REMOÇÕES E DEMOLIÇÕES</t>
  </si>
  <si>
    <t>COBERTURA</t>
  </si>
  <si>
    <t>8</t>
  </si>
  <si>
    <t>8.1</t>
  </si>
  <si>
    <t>8.2</t>
  </si>
  <si>
    <t>9</t>
  </si>
  <si>
    <t>9.1</t>
  </si>
  <si>
    <t>9.2</t>
  </si>
  <si>
    <t>9.3</t>
  </si>
  <si>
    <t>9.4</t>
  </si>
  <si>
    <t>9.5</t>
  </si>
  <si>
    <t>9.6</t>
  </si>
  <si>
    <t>10</t>
  </si>
  <si>
    <t>10.1</t>
  </si>
  <si>
    <t>ESQUADRIAS</t>
  </si>
  <si>
    <t>PINTURA PAREDES E TETO</t>
  </si>
  <si>
    <t>PLANILHA ORÇAMENTÁRIA DE CUSTOS</t>
  </si>
  <si>
    <t>COMPOS-002</t>
  </si>
  <si>
    <t>LEANDRO DE SOUZA COSTA</t>
  </si>
  <si>
    <t>CREA-ES 037.338/D</t>
  </si>
  <si>
    <r>
      <t xml:space="preserve">RESPONSÁVEL TÉCNICO: </t>
    </r>
    <r>
      <rPr>
        <sz val="12"/>
        <rFont val="Arial"/>
        <family val="2"/>
      </rPr>
      <t>LEANDRO DE SOUZA COSTA; CREA-ES 037.338/D</t>
    </r>
  </si>
  <si>
    <t>DEMOLIÇÃO MANUAL DE CONSTRUÇÃO EM ALVENARIAS DE VEDAÇÃO, COM ESPESSURA MÁXIMA DE 15CM, INCLUSIVE REMOÇÃO COM REAPROVEITAMENTO DE ESQUADRIAS, AFASTAMENTO E EMPILHAMENTO, EXCLUSIVE TRANSPORTE E
RETIRADA DO MATERIAL DEMOLIDO/REMOVIDO NÃO REAPROVEITÁVEL</t>
  </si>
  <si>
    <t>ED-28338</t>
  </si>
  <si>
    <t>2.8</t>
  </si>
  <si>
    <t>ED-48343</t>
  </si>
  <si>
    <t>TORNEIRA METÁLICA PARA PIA, ABERTURA 1/4 DE VOLTA, ACABAMENTO CROMADO, COM AREJADOR, APLICAÇÃO DE PAREDE, INCLUSIVE FORNECIMENTO E INSTALAÇÃO</t>
  </si>
  <si>
    <t>ED-50326</t>
  </si>
  <si>
    <t>4.8</t>
  </si>
  <si>
    <t>4.9</t>
  </si>
  <si>
    <t>4.10</t>
  </si>
  <si>
    <t>4.11</t>
  </si>
  <si>
    <t>ED-50232</t>
  </si>
  <si>
    <t>LIXAMENTO MANUAL EM SUPERFÍCIE METÁLICA PARA REMOÇÃO DE TINTA</t>
  </si>
  <si>
    <t>ED-50508</t>
  </si>
  <si>
    <t xml:space="preserve">LEANDRO DE SOUZA COSTA </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</si>
  <si>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</si>
  <si>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r>
      <t xml:space="preserve">OBRA: </t>
    </r>
    <r>
      <rPr>
        <sz val="12"/>
        <rFont val="Arial"/>
        <family val="2"/>
      </rPr>
      <t>REFORMA DA E.M. VEREADOR SEBASTIÃO GODINHO NETO</t>
    </r>
  </si>
  <si>
    <r>
      <t xml:space="preserve">ENDEREÇO: </t>
    </r>
    <r>
      <rPr>
        <sz val="12"/>
        <rFont val="Arial"/>
        <family val="2"/>
      </rPr>
      <t>RUA DARIO ALVES PEREIRA, S/N, SÃO FRANCISCO DO HUMAITÁ, MUTUM - MG</t>
    </r>
  </si>
  <si>
    <t>REMOÇÃO MANUAL DE ENGRADAMENTO PARA TELHA TIPO CERÂMICA OU CONCRETO, INCLUSIVE AFASTAMENTO E EMPILHAMENTO, EXCLUSIVE TRANSPORTE E RETIRADA DO MATERIAL REMOVIDO NÃO REAPROVEITÁVEL</t>
  </si>
  <si>
    <t>ED-48457</t>
  </si>
  <si>
    <t>DEMOLIÇÃO MANUAL DE REBOCO OU EMBOÇO, COM ESPESSURA DE ATÉ 55MM, INCLUSIVE AFASTAMENTO E EMPILHAMENTO, EXCLUSIVE TRANSPORTE E RETIRADA DO MATERIAL DEMOLIDO</t>
  </si>
  <si>
    <t>REMOÇÃO MANUAL DE LUMINÁRIA COMERCIAL, EMBUTIDA OU SOBREPOR, COM REAPROVEITAMENTO, INCLUSIVE AFASTAMENTO E EMPILHAMENTO, EXCLUSIVE TRANSPORTE E RETIRADA DO MATERIAL REMOVIDO NÃO REAPROVEITÁVEL</t>
  </si>
  <si>
    <t>ED-48468</t>
  </si>
  <si>
    <t>REMOÇÃO MANUAL DE FOLHA DE PORTA OU JANELA DE MADEIRA OU METÁLICA, COM REAPROVEITAMENTO, INCLUSIVE AFASTAMENTO E EMPILHAMENTO, EXCLUSIVE TRANSPORTE E RETIRADA DO MATERIAL REMOVIDO NÃO REAPROVEITÁVEL</t>
  </si>
  <si>
    <r>
      <rPr>
        <b/>
        <sz val="12"/>
        <rFont val="Arial"/>
        <family val="2"/>
      </rPr>
      <t>PREÇO DE CUSTO:</t>
    </r>
    <r>
      <rPr>
        <sz val="12"/>
        <rFont val="Arial"/>
        <family val="2"/>
      </rPr>
      <t xml:space="preserve"> SETOP - SEM DESONERAÇÃO FISCAL, REGIÃO LESTE, JULHO/2024 | SINAPI 11/2024 - NÃO DESONERADO</t>
    </r>
  </si>
  <si>
    <t>ED-48494</t>
  </si>
  <si>
    <t>DEMOLIÇÃO MECANIZADA DE CONCRETO, SEM ARMAÇÃO, COM EQUIPAMENTO ELÉTRICO, INCLUSIVE AFASTAMENTO E EMPILHAMENTO, EXCLUSIVE TRANSPORTE E RETIRADA DO MATERIAL DEMOLIDO</t>
  </si>
  <si>
    <t>ED-48442</t>
  </si>
  <si>
    <t>REMOÇÃO MANUAL DE BANCADA DE PEDRA (MÁRMORE, GRANITO, ARDÓSIA, MARMORITE, ETC.), COM REAPROVEITAMENTO, INCLUSIVE RASGO EM ALVENARIA,
REMOÇÃO DE ACESSÓRIOS DE FIXAÇÃO, AFASTAMENTO E EMPILHAMENTO, EXCLUSIVE TRANSPORTE E RETIRADA DO MATERIAL REMOVIDO NÃO REAPROVEITÁVEL</t>
  </si>
  <si>
    <t>ED-48437</t>
  </si>
  <si>
    <t>REMOÇÃO MANUAL DE TELHA CERÂMICA, COM REAPROVEITAMENTO, INCLUSIVE AFASTAMENTO E EMPILHAMENTO, EXCLUSIVE TRANSPORTE E RETIRADA DO
MATERIAL REMOVIDO NÃO REAPROVEITÁVEL</t>
  </si>
  <si>
    <t>REMOÇÃO MANUAL DE FORRO DE PLACAS (GESSO, MINERAL, FIBRA, ISOPOR, COLMEIA, PVC, ETC.), COM REAPROVEITAMENTO, INCLUSIVE AFASTAMENTO E EMPILHAMENTO, EXCLUSIVE DEMOLIÇÃO DA ESTRUTURA DE SUSTENTAÇÃO, TRANSPORTE E RETIRADA DO MATERIAL REMOVIDO NÃO REAPROVEITÁVEL</t>
  </si>
  <si>
    <t>ED-48460</t>
  </si>
  <si>
    <t>2.9</t>
  </si>
  <si>
    <t>REMOÇÃO MANUAL DE METAIS COMUNS E ACABAMENTOS (TORNEIRA, ACABAMENTO PARA REGISTRO, SIFÃO, ENGATEFLEXÍVEL, ETC.), COM REAPROVEITAMENTO, INCLUSIVE AFASTAMENTO E EMPILHAMENTO, EXCLUSIVE TRANSPORTE E RETIRADA DO MATERIAL REMOVIDO NÃO REAPROVEITÁVEL</t>
  </si>
  <si>
    <t>ED-48470</t>
  </si>
  <si>
    <t>2.10</t>
  </si>
  <si>
    <t>CHAPISCO COM ARGAMASSA, TRAÇO 1:3 (CIMENTO E AREIA), ESP. 5MM, APLICADO EM ALVENARIA/ESTRUTURA DE CONCRETO COM COLHER, INCLUSIVE ARGAMASSA COM PREPARO MECANIZADO</t>
  </si>
  <si>
    <t>TORNEIRA METÁLICA PARA LAVATÓRIO, FECHAMENTO AUTOMÁTICO, ACABAMENTO CROMADO, COM AREJADOR, APLICAÇÃO DE MESA, INCLUSIVE ENGATE FLEXÍVEL METÁLICO, FORNECIMENTO E INSTALAÇÃO</t>
  </si>
  <si>
    <t>ED-50329</t>
  </si>
  <si>
    <t>REGISTRO DE GAVETA, TIPO BASE, ROSCÁVEL 1" (PARA TUBO SOLDÁVEL OU PPR DN 32MM/CPVC DN 28MM), INCLUSIVE ACABAMENTO (PADRÃO POPULAR) E CANOPLA CROMADOS</t>
  </si>
  <si>
    <t>ED-49992</t>
  </si>
  <si>
    <t>CUBA DE LOUÇA BRANCA DE EMBUTIR, FORMATO OVAL, INCLUSIVE VÁLVULA DE ESCOAMENTO DE METAL COM ACABAMENTO CROMADO, SIFÃO DE METAL TIPO COPO COM ACABAMENTO CROMADO, FORNECIMENTO E INSTALAÇÃO</t>
  </si>
  <si>
    <t>ED-50279</t>
  </si>
  <si>
    <t>TANQUE DE MÁRMORE SINTÉTICO SUSPENSO, 22L OU EQUIVALENTE, INCLUSO SIFÃO FLEXÍVEL EM PVC, VÁLVULA PLÁSTICA E TORNEIRA DE METAL CROMADO PADRÃO POPULAR - FORNECIMENTO E INSTALAÇÃO. AF_01/2020</t>
  </si>
  <si>
    <t>BANCADA EM GRANITO CINZA ANDORINHA E = 3 CM, APOIADA EM
CONSOLE DE METALON 20 X 30 MM</t>
  </si>
  <si>
    <t>PONTO DE EMBUTIR PARA ESGOTO EM TUBO PVC RÍGIDO, PB - SÉRIE NORMAL, DN 40MM (1.1/2"), EMBUTIDO NA ALVENARIA/PISO, COM ALTURA (SAÍDA) DE 50CM DO PISO, COM DISTÂNCIA DE ATÉ CINCO (5) METROS DO RAMAL DE ESGOTO, EXCLUSIVE
ESCAVAÇÃO, INCLUSIVE CONEXÕES E FIXAÇÃO DO TUBO COM ENCHIMENTO DO RASGO NA ALVENARIA/CONCRETO COM ARGAMASSA</t>
  </si>
  <si>
    <t>PONTO DE EMBUTIR PARA ÁGUA FRIA EM TUBO DE PVC RÍGIDO SOLDÁVEL, DN 20MM (1/2"), EMBUTIDO NA ALVENARIA COM DISTÂNCIA DE ATÉ CINCO (5) METROS DA TOMADA DE ÁGUA, INCLUSIVE CONEXÕES E FIXAÇÃO DO TUBO COM ENCHIMENTO
DO RASGO NA ALVENARIA/CONCRETO COM ARGAMASSA</t>
  </si>
  <si>
    <t>ED-50221</t>
  </si>
  <si>
    <t>BARRA DE APOIO EM AÇO INOX POLIDO RETA, DN 1.1/4" (31,75MM), PARA ACESSIBILIDADE (PMR/PCR), COMPRIMENTO 70CM, INSTALADO EM PAREDE, INCLUSIVE FORNECIMENTO, INSTALAÇÃO E ACESSÓRIOS PARA FIXAÇÃO</t>
  </si>
  <si>
    <t>ED-48164</t>
  </si>
  <si>
    <t>BARRA DE APOIO EM AÇO INOX POLIDO RETA, DN 1.1/4" (31,75MM), PARA ACESSIBILIDADE (PMR/PCR), COMPRIMENTO 40CM, INSTALADO EM PORTA/PAREDE, INCLUSIVE FORNECIMENTO, INSTALAÇÃO E ACESSÓRIOS PARA FIXAÇÃO</t>
  </si>
  <si>
    <t>ED-48163</t>
  </si>
  <si>
    <t>BARRA DE APOIO EM AÇO INOX POLIDO PARA LAVATÓRIO DE CANTO, DN 1.1/4" (31,75MM), PARA ACESSIBILIDADE (PMR/PCR), INSTALADO EM PAREDE, INCLUSIVE FORNECIMENTO, INSTALAÇÃO E ACESSÓRIOS PARA FIXAÇÃO</t>
  </si>
  <si>
    <t>ED-48167</t>
  </si>
  <si>
    <t>LÂMPADA COMPACTA DE LED 10 W, BASE E27 - FORNECIMENTO E INSTALAÇÃO. AF_02/2020</t>
  </si>
  <si>
    <t>PONTO DE EMBUTIR PARA UMA (1) LUMINÁRIA, COM ELETRODUTO DE PVC RÍGIDO ROSCÁVEL, DN 20MM (3/4"), EMBUTIDO NA LAJE E CABO DE COBRE FLEXÍVEL, CLASSE 5, ISOLAMENTO TIPO LSHF/
ATOX, NÃO HALOGENADO, SEÇÃO 1,5MM2 (70°C-450/750V), COM DISTÂNCIA DE ATÉ CINCO (5) METROS DO PONTO DE DERIVAÇÃO, EXCLUSIVE LUMINÁRIA, INCLUSIVE CAIXA DE LIGAÇÃO
OCTOGONAL, SUPORTE E FIXAÇÃO DO ELETRODUTO</t>
  </si>
  <si>
    <t>ED-50228</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</si>
  <si>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</si>
  <si>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FORNECIMENTO DE ESTRUTURA METÁLICA E ENGRADAMENTO METÁLICO, EM AÇO, PARA TELHADO, EXCLUSIVE TELHA, INCLUSIVE FABRICAÇÃO, TRANSPORTE, MONTAGEM E APLICAÇÃO DE FUNDO PREPARADOR ANTICORROSIVO EM
SUPERFÍCIE METÁLICA, UMA (1) DEMÃO</t>
  </si>
  <si>
    <t>ED-20603</t>
  </si>
  <si>
    <t>Kg</t>
  </si>
  <si>
    <t>6.4</t>
  </si>
  <si>
    <t>CALHA EM CHAPA GALVANIZADA, ESP. 0,5MM (GSG-26), COM DESENVOLVIMENTO DE 33CM, INCLUSIVE IÇAMENTO MANUAL VERTICAL</t>
  </si>
  <si>
    <t>ED-50661</t>
  </si>
  <si>
    <t>7.2</t>
  </si>
  <si>
    <t>7.3</t>
  </si>
  <si>
    <t>7.4</t>
  </si>
  <si>
    <t>7.5</t>
  </si>
  <si>
    <t>7.6</t>
  </si>
  <si>
    <t>7.7</t>
  </si>
  <si>
    <t>7.9</t>
  </si>
  <si>
    <t>7.10</t>
  </si>
  <si>
    <t>GRADIL EM FERRO FIXADO EM VÃOS DE JANELAS, FORMADO POR BARRAS CHATAS DE 25X4,8 MM. AF_04/2019</t>
  </si>
  <si>
    <t>JANELA DE ALUMÍNIO DE CORRER COM 2 FOLHAS PARA VIDROS, COM VIDROS, BATENTE, ACABAMENTO COM ACETATO OU BRILHANTE E FERRAGENS. EXCLUSIVE ALIZAR E CONTRAMARCO. FORNECIMENTO E INSTALAÇÃO. AF_12/2019</t>
  </si>
  <si>
    <t>DOBRADIÇA DE FERRO, MEDIDAS (3/4"X1"), TIPO PINO GONZO NÚMERO 2, INCLUSIVE
INSTALAÇÃO, EXCLUSIVE PINTURA DE ACABAMENTO</t>
  </si>
  <si>
    <t xml:space="preserve">ED-27548 </t>
  </si>
  <si>
    <t xml:space="preserve">ED-31428 </t>
  </si>
  <si>
    <t>FORRO PVC</t>
  </si>
  <si>
    <t>FORRO EM RÉGUA DE PVC, LARGURA 20CM, NA COR BRANCA, INCLUSIVE ESTRUTURA DE FIXAÇÃO E PENDURAIS METÁLICOS E ACESSÓRIOS DE FIXAÇÃO, EXCLUSIVE RODAFORRO OU MOLDURA</t>
  </si>
  <si>
    <t>ED-28728</t>
  </si>
  <si>
    <t>RODAFORRO EM PVC, TIPO "U", NA COR BRANCA, PARA FORRO EM RÉGUA DE PVC, INCLUSIVE ACESSÓRIOS DE FIXAÇÃO</t>
  </si>
  <si>
    <t>ED-28751</t>
  </si>
  <si>
    <t>FERROLHO EM AÇO GALVANIZADO, COMPRIMENTO DE 3", TIPO REDONDO, INCLUSIVE ACESSÓRIOS PARA FIXAÇÃO</t>
  </si>
  <si>
    <t>FORNECIMENTO DE ESTRUTURA METÁLICA EM PERFIL SOLDADO, INCLUSIVE FABRICAÇÃO, TRANSPORTE, MONTAGEM E APLICAÇÃO DE FUNDO PREPARADOR ANTICORROSIVO EM SUPERFÍCIE METÁLICA, UMA (1) DEMÃO</t>
  </si>
  <si>
    <t>ED-49665</t>
  </si>
  <si>
    <t>10.2</t>
  </si>
  <si>
    <t>10.3</t>
  </si>
  <si>
    <t>ESCAVAÇÃO, CARGA E TRANSPORTE DE MATERIAL DE 1ª CATEGORIA – EXECUTADO COM ESCAVADEIRA DE 1,40 M3 E CAMINHÃO BASCULANTE DE 12 M3 E COM CAMINHO DE SERVIÇO EM LEITO NATURAL - DMT DE 50 A 200 M</t>
  </si>
  <si>
    <t>ED-49804</t>
  </si>
  <si>
    <t>10.4</t>
  </si>
  <si>
    <t>10.5</t>
  </si>
  <si>
    <t>FORNECIMENTO DE CONCRETO ESTRUTURAL, USINADO BOMBEADO, COM FCK 20MPA, INCLUSIVE LANÇAMENTO, ADENSAMENTO E ACABAMENTO (FUNDAÇÃO)</t>
  </si>
  <si>
    <t>RO-00046</t>
  </si>
  <si>
    <r>
      <rPr>
        <b/>
        <sz val="11"/>
        <color theme="1"/>
        <rFont val="Calibri"/>
        <family val="2"/>
        <scheme val="minor"/>
      </rPr>
      <t>OBRA:</t>
    </r>
    <r>
      <rPr>
        <sz val="11"/>
        <color theme="1"/>
        <rFont val="Calibri"/>
        <family val="2"/>
        <scheme val="minor"/>
      </rPr>
      <t xml:space="preserve">  REFORMA DA E.M. VEREADOR SEBASTIÃO GODINHO NETO</t>
    </r>
  </si>
  <si>
    <r>
      <t xml:space="preserve">ENDEREÇO: </t>
    </r>
    <r>
      <rPr>
        <sz val="11"/>
        <color theme="1"/>
        <rFont val="Calibri"/>
        <family val="2"/>
        <scheme val="minor"/>
      </rPr>
      <t>RUA DARIO ALVES PEREIRA, S/N, SÃO FRANCISCO DO HUMAITÁ, MUTUM - MG</t>
    </r>
  </si>
  <si>
    <r>
      <t xml:space="preserve">FOLHAS: </t>
    </r>
    <r>
      <rPr>
        <sz val="12"/>
        <rFont val="Arial"/>
        <family val="2"/>
      </rPr>
      <t>6</t>
    </r>
  </si>
  <si>
    <t>GRADE E PORTÃO</t>
  </si>
  <si>
    <t xml:space="preserve">COBERTURA EM TELHA METÁLICA GALVANIZADA TRAPEZOIDAL, TIPO DUPLA TERMOACÚSTICA COM DUAS FACES TRAPEZOIDAIS, ESP. 0,43MM, PREENCHIMENTO EM POLIESTIRENO EXPANDIDO/ ISOPOR COM ESP. 30MM, ACABAMENTO NATURAL, INCLUSIVE ACESSÓRIOS PARA FIXAÇÃO, FORNECIMENTO E INSTALAÇÃO </t>
  </si>
  <si>
    <t>ED-48429</t>
  </si>
  <si>
    <t>REMOÇÃO DE LOUÇAS (LAVATÓRIO, BANHEIRA, PIA, VASO SANITÁRIO, TANQUE), COM REAPROVEITAMENTO, INCLUSIVE AFASTAMENTO E EMPILHAMENTO, EXCLUSIVE TRANSPORTE E RETIRADA DO MATERIAL REMOVIDO NÃO REAPROVEITÁVEL</t>
  </si>
  <si>
    <t>2.11</t>
  </si>
  <si>
    <t>ED-48467</t>
  </si>
  <si>
    <t>4.12</t>
  </si>
  <si>
    <t>4.13</t>
  </si>
  <si>
    <t>4.14</t>
  </si>
  <si>
    <t>4.15</t>
  </si>
  <si>
    <t>4.16</t>
  </si>
  <si>
    <t>4.17</t>
  </si>
  <si>
    <t>4.18</t>
  </si>
  <si>
    <t>REASSENTAMENTO 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</si>
  <si>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RESSENTAMENTO BACIA SANITÁRIA (VASO) DE LOUÇA CONVENCIONAL, COR BRANCA, INCLUSIVE ACESSÓRIOS DE FIXAÇÃO/VEDAÇÃO, FORNECIMENTO, INSTALAÇÃO E REJUNTAMENTO, EXCLUSIVE VÁLVULA DE DESCARGA E TUBO DE LIGAÇÃO</t>
  </si>
  <si>
    <t>GRELHA EM FERRO FUNDIDO COM CAIXILHO, DIMENSÃO (15X15)CM, INCLUSIVE ASSENTAMENTO DE CAIXILHO, EXCLUSIVE CAIXA COLETORA</t>
  </si>
  <si>
    <t>ED-49943</t>
  </si>
  <si>
    <t>CHUVEIRO ELÉTRICO BRANCO, TENSÃO 127V/220V, POTÊNCIA 4600W/5500W, INCLUSIVE BRAÇO, FORNECIMENTO E INSTALAÇÃO</t>
  </si>
  <si>
    <t>ED-16344</t>
  </si>
  <si>
    <t>PONTO DE EMBUTIR PARA ESGOTO EM TUBO PVC RÍGIDO, PBV - SÉRIE NORMAL, DN 100MM (4"), EMBUTIDO EM PISO COM DISTÂNCIA DE ATÉ CINCO (5) METROS DO RAMAL DE ESGOTO, INCLUSIVE CONEXÕES E FIXAÇÃO DO TUBO COM ENCHIMENTO DO RASGO NO CONCRETO COM ARGAMASSA</t>
  </si>
  <si>
    <t>ED-50225</t>
  </si>
  <si>
    <t>FORNECIMENTO E ASSENTAMENTO DE TUBO PVC RÍGIDO SOLDÁVEL, ÁGUA FRIA, DN 50 MM (1.1/2"), INCLUSIVE CONEXÕES</t>
  </si>
  <si>
    <t>ED-50022</t>
  </si>
  <si>
    <t>VÁLVULA DE DESCARGA COM REGISTRO INTERNO, ACIONAMENTO SIMPLES, DN 1.1/2" (50MM), INCLUSIVE ACABAMENTO DA VÁLVULA</t>
  </si>
  <si>
    <t>ED-50337</t>
  </si>
  <si>
    <t>REMOÇÃO MANUAL DE CONJUNTO DE FERRAGENS (DOBRADIÇAS, FECHADURA E MAÇANETAS), COM REAPROVEITAMENTO, INCLUSIVE AFASTAMENTO E EMPILHAMENTO, EXCLUSIVE TRANSPORTE E RETIRADA DO MATERIAL REMOVIDO NÃO REAPROVEITÁVEL</t>
  </si>
  <si>
    <t>ED-48458</t>
  </si>
  <si>
    <t>2.12</t>
  </si>
  <si>
    <t>DEMOLIÇÃO MANUAL DE REVESTIMENTO CERÂMICO, AZULEJO OU LADRILHO HIDRÁULICO, INCLUSIVE AFASTAMENTO E EMPILHAMENTO, EXCLUSIVE DEMOLIÇÃO DO REBOCO OU EMBOÇO, TRANSPORTE E RETIRADA DO MATERIAL DEMOLIDO</t>
  </si>
  <si>
    <t>ED-48502</t>
  </si>
  <si>
    <t>2.13</t>
  </si>
  <si>
    <t>DEMOLIÇÃO MANUAL DE PISO CERÂMICO OU LADRILHO HIDRÁULICO, INCLUSIVE AFASTAMENTO E EMPILHAMENTO, EXCLUSIVE DEMOLIÇÃO DE CONTRAPISO, TRANSPORTE E RETIRADA DO MATERIAL DEMOLIDO</t>
  </si>
  <si>
    <t>ED-48480</t>
  </si>
  <si>
    <t>2.14</t>
  </si>
  <si>
    <t>3.4</t>
  </si>
  <si>
    <t>3.5</t>
  </si>
  <si>
    <t>ED-50567</t>
  </si>
  <si>
    <t>CONTRAPISO DESEMPENADO COM ARGAMASSA, TRAÇO 1:3 (CIMENTO E AREIA), ESP. 30MM, INCLUSIVE ARGAMASSA COM PREPARO MECANIZADO</t>
  </si>
  <si>
    <t>REVESTIMENTO COM CERÂMICA APLICADO EM PISO, ACABAMENTO ESMALTADO, AMBIENTE INTERNO, PADRÃO EXTRA, DIMENSÃO DA PEÇA ATÉ 2025 CM2, PEI IV, ASSENTAMENTO COM ARGAMASSA INDUSTRIALIZADA, INCLUSIVE REJUNTAMENTO</t>
  </si>
  <si>
    <t>ED-50724</t>
  </si>
  <si>
    <t>REVESTIMENTO PAREDES E PISOS</t>
  </si>
  <si>
    <t>PORTA DE MADEIRA COMPLETA, DIMENSÃO (60X210)CM, TIPO DE ABRIR, UMA (1) FOLHA, ACABAMENTO NATURAL PARA PINTURA/ VERNIZ, TIPO PRANCHETA/SARRAFEADA, INCLUSIVE MARCO, ALIZAR E FERRAGENS, EXCLUSIVE PINTURA/VERNIZ</t>
  </si>
  <si>
    <t>ED-49600</t>
  </si>
  <si>
    <t>7.8</t>
  </si>
  <si>
    <t>ALIZAR DE 5X1,5CM PARA PORTA FIXADO COM PREGOS, PADRÃO MÉDIO - FORNECIMENTO E INSTALAÇÃO. AF_12/2019</t>
  </si>
  <si>
    <t>ED-50954</t>
  </si>
  <si>
    <t>FORNECIMENTO DE JANELA BASCULANTE DE FERRO, INCLUSIVE ASSENTAMENTO, FERRAGENS E ACESSÓRIOS</t>
  </si>
  <si>
    <t>7.11</t>
  </si>
  <si>
    <t>CONTRAMARCO DE ALUMÍNIO, FIXAÇÃO COM ARGAMASSA - FORNECIMENTO E INSTALAÇÃO. AF_12/2019</t>
  </si>
  <si>
    <t>kg</t>
  </si>
  <si>
    <t>MATED-11262</t>
  </si>
  <si>
    <t>ESTOPA DE ALGODÃO</t>
  </si>
  <si>
    <t>MATED-11624</t>
  </si>
  <si>
    <t>FITA VEDA ROSCA (LARGURA: 12MM| APLICAÇÃO: VEDAÇÃO PARA TUBOS E CONEXÕES ROSCÁVEIS)</t>
  </si>
  <si>
    <t>SIFÃO METÁLICO PARA LAVATÓRIO (TIPO: COPO|MATERIAL: METAL|ACABAMENTO: CROMADO| DIÂMETRO DE ENTRADA: 1"|DIÂMETRO DE SAÍDA: 1.1/2")</t>
  </si>
  <si>
    <t>MATED-11697</t>
  </si>
  <si>
    <t>MATED-11702</t>
  </si>
  <si>
    <t>VÁLVULA DE ESCOAMENTO METÁLICA PARA LAVATÓRIO/BIDÊ (MATERIAL: METAL|ACABAMENTO: CROMADO|DIÂMETRO DE ENTRADA: 7/8" OU 1")</t>
  </si>
  <si>
    <t>PARAFUSO (TIPO: CASTELO|MATERIAL: LATÃO|NÚMERO: 8|ARRUELA: INCLUSA|BUCHA: INCLUSA)</t>
  </si>
  <si>
    <t>MATED-11970</t>
  </si>
  <si>
    <t>REJUNTE CIMENTÍCIO FLEXÍVEL (COR: DIVERSAS|DENSIDADE DA PASTA: 1500KG/M3*)*VALORES REFERENCIAIS APROXIMADOS</t>
  </si>
  <si>
    <t>MATED-12355</t>
  </si>
  <si>
    <t>AJUDANTE DE BOMBEIRO/ENCANADOR COM ENCARGOS COMPLEMENTARES</t>
  </si>
  <si>
    <t>ED-50363</t>
  </si>
  <si>
    <t>REJUNTADOR COM ENCARGOS COMPLEMENTARES</t>
  </si>
  <si>
    <t>ED-50368</t>
  </si>
  <si>
    <t>BOMBEIRO/ENCANADOR COM ENCARGOS COMPLEMENTARES</t>
  </si>
  <si>
    <t>ED-50374</t>
  </si>
  <si>
    <t>ANEL DE VEDAÇÃO PARA SAÍDA DE VASO SANITÁRIO COM GUIA (DIÂMETRO DA SEÇÃO: 100MM)</t>
  </si>
  <si>
    <t>MATED-11705</t>
  </si>
  <si>
    <t>PARAFUSO (TIPO: CASTELO|MATERIAL: LATÃO|NÚMERO: 10|ARRUELA: INCLUSA|BUCHA: INCLUSA)</t>
  </si>
  <si>
    <t>MATED-12601</t>
  </si>
  <si>
    <t>6.5</t>
  </si>
  <si>
    <t>COMPOS-003</t>
  </si>
  <si>
    <t>COBERTURA EM TELHA TIPO COLONIAL, TIPO PVC COR CERÂMICA 2,42x0,88 MM, INCLUSIVE ACESSÓRIOS PARA FIXAÇÃO, FORNERCIMENTO E INSTALAÇÃO</t>
  </si>
  <si>
    <t>MATED-11377</t>
  </si>
  <si>
    <t>COTAÇÃO</t>
  </si>
  <si>
    <t>PARAFUSO (ROSCA: SOBERBA|CABEÇA: SEXTAVADA|MATERIAL: AÇO|ACABAMENTO: ZINCADO| COMPRIMENTO: 110MM|DIÂMETRO: 8MM)</t>
  </si>
  <si>
    <t>MATED-11334</t>
  </si>
  <si>
    <t>CONJUNTO VEDAÇÃO ELÁSTICA ( APLICAÇÃO: TELHADO|DIÂMETRO DO FURO: 8MM)</t>
  </si>
  <si>
    <t>AJUDANTE DE TELHADISTA COM ENCARGOS COMPLEMENTARES</t>
  </si>
  <si>
    <t>ED-50364</t>
  </si>
  <si>
    <t xml:space="preserve">ED-50386 </t>
  </si>
  <si>
    <t>TELHADISTA COM ENCARGOS COMPLEMENTARES</t>
  </si>
  <si>
    <t xml:space="preserve">TELHA COLONIAL, TIPO PVC, COR CERÂMICA </t>
  </si>
  <si>
    <t>CHUMBADOR DE ACO TIPO PARABOLT, * 5/8" X 200* MM, COM PORCA E ARRUELA</t>
  </si>
  <si>
    <t>6.6</t>
  </si>
  <si>
    <t>6.7</t>
  </si>
  <si>
    <t>6.8</t>
  </si>
  <si>
    <t>FORNECIMENTO DE CONCRETO ESTRUTURAL, PREPARADO EM OBRA, COM FCK 25MPA, INCLUSIVE LANÇAMENTO, ADENSAMENTO E ACABAMENTO</t>
  </si>
  <si>
    <t>ED-49619</t>
  </si>
  <si>
    <t>ED-29550</t>
  </si>
  <si>
    <t>CORTE, DOBRA E MONTAGEM DE AÇO CA-50, DIÂMETRO 8MM, INCLUSIVE ESPAÇADOR</t>
  </si>
  <si>
    <t>7.12</t>
  </si>
  <si>
    <t>PORTÃO DE GRADE EM BARRA REDONDA 1/2" E REQUADRO EM BARRA CHATA 1.1/4"X3/16", EXCLUSIVE CADEADO E PINTURA</t>
  </si>
  <si>
    <t>ED-50983</t>
  </si>
  <si>
    <r>
      <t xml:space="preserve">DATA: </t>
    </r>
    <r>
      <rPr>
        <sz val="12"/>
        <rFont val="Arial"/>
        <family val="2"/>
      </rPr>
      <t>10/12/2024</t>
    </r>
  </si>
</sst>
</file>

<file path=xl/styles.xml><?xml version="1.0" encoding="utf-8"?>
<styleSheet xmlns="http://schemas.openxmlformats.org/spreadsheetml/2006/main">
  <numFmts count="3">
    <numFmt numFmtId="44" formatCode="_-&quot;R$&quot;\ * #,##0.00_-;\-&quot;R$&quot;\ * #,##0.00_-;_-&quot;R$&quot;\ * &quot;-&quot;??_-;_-@_-"/>
    <numFmt numFmtId="43" formatCode="_-* #,##0.00_-;\-* #,##0.00_-;_-* &quot;-&quot;??_-;_-@_-"/>
    <numFmt numFmtId="164" formatCode="_(* #,##0.00_);_(* \(#,##0.00\);_(* \-??_);_(@_)"/>
  </numFmts>
  <fonts count="19">
    <font>
      <sz val="11"/>
      <color theme="1"/>
      <name val="Calibri"/>
      <family val="2"/>
      <scheme val="minor"/>
    </font>
    <font>
      <sz val="11"/>
      <color rgb="FF000000"/>
      <name val="Calibri"/>
      <family val="2"/>
      <scheme val="minor"/>
    </font>
    <font>
      <sz val="11"/>
      <color theme="1"/>
      <name val="Calibri"/>
      <family val="2"/>
      <scheme val="minor"/>
    </font>
    <font>
      <sz val="10"/>
      <name val="Arial"/>
      <family val="2"/>
    </font>
    <font>
      <b/>
      <sz val="14"/>
      <name val="Arial"/>
      <family val="2"/>
    </font>
    <font>
      <b/>
      <sz val="28"/>
      <name val="Arial"/>
      <family val="2"/>
    </font>
    <font>
      <sz val="11"/>
      <name val="Calibri"/>
      <family val="2"/>
      <scheme val="minor"/>
    </font>
    <font>
      <b/>
      <sz val="12"/>
      <name val="Arial"/>
      <family val="2"/>
    </font>
    <font>
      <sz val="12"/>
      <name val="Arial"/>
      <family val="2"/>
    </font>
    <font>
      <b/>
      <sz val="11"/>
      <name val="Calibri"/>
      <family val="2"/>
      <scheme val="minor"/>
    </font>
    <font>
      <sz val="14"/>
      <name val="Arial"/>
      <family val="2"/>
    </font>
    <font>
      <sz val="14"/>
      <name val="Calibri"/>
      <family val="2"/>
      <scheme val="minor"/>
    </font>
    <font>
      <b/>
      <sz val="11"/>
      <name val="Arial"/>
      <family val="2"/>
    </font>
    <font>
      <b/>
      <sz val="18"/>
      <name val="Arial"/>
      <family val="2"/>
    </font>
    <font>
      <sz val="18"/>
      <name val="Arial"/>
      <family val="2"/>
    </font>
    <font>
      <b/>
      <sz val="11"/>
      <color theme="1"/>
      <name val="Calibri"/>
      <family val="2"/>
      <scheme val="minor"/>
    </font>
    <font>
      <b/>
      <sz val="24"/>
      <color theme="1"/>
      <name val="Calibri"/>
      <family val="2"/>
      <scheme val="minor"/>
    </font>
    <font>
      <sz val="10"/>
      <name val="Arial"/>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s>
  <cellStyleXfs count="11">
    <xf numFmtId="0" fontId="0" fillId="0" borderId="0"/>
    <xf numFmtId="43" fontId="1"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164" fontId="3" fillId="0" borderId="0" applyFill="0" applyBorder="0" applyAlignment="0" applyProtection="0"/>
    <xf numFmtId="44" fontId="2" fillId="0" borderId="0" applyFont="0" applyFill="0" applyBorder="0" applyAlignment="0" applyProtection="0"/>
    <xf numFmtId="0" fontId="2" fillId="0" borderId="0"/>
    <xf numFmtId="0" fontId="17" fillId="0" borderId="0"/>
    <xf numFmtId="0" fontId="17" fillId="0" borderId="0"/>
  </cellStyleXfs>
  <cellXfs count="106">
    <xf numFmtId="0" fontId="0" fillId="0" borderId="0" xfId="0"/>
    <xf numFmtId="0" fontId="4" fillId="3" borderId="8" xfId="0" applyFont="1" applyFill="1" applyBorder="1" applyProtection="1"/>
    <xf numFmtId="0" fontId="6" fillId="2" borderId="0" xfId="0" applyFont="1" applyFill="1" applyProtection="1">
      <protection locked="0"/>
    </xf>
    <xf numFmtId="0" fontId="7" fillId="2" borderId="6" xfId="0" applyFont="1" applyFill="1" applyBorder="1" applyAlignment="1" applyProtection="1">
      <protection locked="0"/>
    </xf>
    <xf numFmtId="0" fontId="8" fillId="2" borderId="11" xfId="0" applyFont="1" applyFill="1" applyBorder="1" applyAlignment="1" applyProtection="1">
      <protection locked="0"/>
    </xf>
    <xf numFmtId="0" fontId="7" fillId="2" borderId="7" xfId="0" applyFont="1" applyFill="1" applyBorder="1" applyAlignment="1" applyProtection="1">
      <protection locked="0"/>
    </xf>
    <xf numFmtId="0" fontId="7" fillId="2" borderId="6"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49" fontId="4" fillId="3" borderId="8" xfId="0" applyNumberFormat="1"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 xfId="0" applyFont="1" applyFill="1" applyBorder="1" applyAlignment="1" applyProtection="1">
      <alignment wrapText="1"/>
    </xf>
    <xf numFmtId="0" fontId="9" fillId="2" borderId="0" xfId="0" applyFont="1" applyFill="1" applyProtection="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wrapText="1"/>
    </xf>
    <xf numFmtId="0" fontId="10" fillId="2" borderId="1" xfId="0" applyFont="1" applyFill="1" applyBorder="1" applyAlignment="1" applyProtection="1">
      <alignment horizontal="center" vertical="center"/>
    </xf>
    <xf numFmtId="44" fontId="10" fillId="2" borderId="1" xfId="7" applyFont="1" applyFill="1" applyBorder="1" applyAlignment="1" applyProtection="1">
      <alignment horizontal="center" vertical="center"/>
    </xf>
    <xf numFmtId="0" fontId="11"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right" wrapText="1"/>
    </xf>
    <xf numFmtId="0" fontId="10" fillId="2" borderId="1" xfId="0" applyFont="1" applyFill="1" applyBorder="1" applyProtection="1"/>
    <xf numFmtId="44" fontId="10" fillId="2" borderId="1" xfId="7" applyFont="1" applyFill="1" applyBorder="1" applyProtection="1"/>
    <xf numFmtId="44" fontId="4" fillId="2" borderId="1" xfId="7" applyFont="1" applyFill="1" applyBorder="1" applyAlignment="1" applyProtection="1">
      <alignment horizontal="center"/>
    </xf>
    <xf numFmtId="0" fontId="6"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right"/>
    </xf>
    <xf numFmtId="0" fontId="14" fillId="2" borderId="1" xfId="0" applyFont="1" applyFill="1" applyBorder="1" applyProtection="1"/>
    <xf numFmtId="44" fontId="13" fillId="2" borderId="1" xfId="7" applyFont="1" applyFill="1" applyBorder="1" applyProtection="1"/>
    <xf numFmtId="43" fontId="6" fillId="2" borderId="0" xfId="3" applyFont="1" applyFill="1" applyProtection="1">
      <protection locked="0"/>
    </xf>
    <xf numFmtId="0" fontId="7" fillId="2" borderId="11" xfId="0" applyFont="1" applyFill="1" applyBorder="1" applyAlignment="1" applyProtection="1">
      <protection locked="0"/>
    </xf>
    <xf numFmtId="44" fontId="4" fillId="3" borderId="1" xfId="0" applyNumberFormat="1" applyFont="1" applyFill="1" applyBorder="1" applyProtection="1"/>
    <xf numFmtId="0" fontId="0" fillId="0" borderId="0" xfId="0" applyBorder="1"/>
    <xf numFmtId="0" fontId="16" fillId="0" borderId="0" xfId="0" applyFont="1" applyBorder="1" applyAlignment="1">
      <alignment horizontal="center"/>
    </xf>
    <xf numFmtId="0" fontId="0" fillId="0" borderId="0" xfId="0" applyFill="1"/>
    <xf numFmtId="0" fontId="0" fillId="0" borderId="1" xfId="0" applyBorder="1"/>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43" fontId="15" fillId="0" borderId="1" xfId="3" applyFont="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2" borderId="12" xfId="0" applyFont="1" applyFill="1" applyBorder="1" applyProtection="1">
      <protection locked="0"/>
    </xf>
    <xf numFmtId="0" fontId="10" fillId="2" borderId="0" xfId="0" applyFont="1" applyFill="1" applyAlignment="1" applyProtection="1">
      <alignment horizontal="center"/>
      <protection locked="0"/>
    </xf>
    <xf numFmtId="0" fontId="10" fillId="2" borderId="1" xfId="0" applyNumberFormat="1" applyFont="1" applyFill="1" applyBorder="1" applyAlignment="1" applyProtection="1">
      <alignment horizontal="center" vertical="center"/>
      <protection locked="0"/>
    </xf>
    <xf numFmtId="44" fontId="15" fillId="0" borderId="1" xfId="7" applyFont="1" applyBorder="1" applyAlignment="1">
      <alignment horizontal="center" vertical="center"/>
    </xf>
    <xf numFmtId="0" fontId="6" fillId="2" borderId="12" xfId="0" applyFont="1" applyFill="1" applyBorder="1" applyProtection="1">
      <protection locked="0"/>
    </xf>
    <xf numFmtId="0" fontId="6" fillId="2" borderId="0" xfId="0" applyFont="1" applyFill="1" applyAlignment="1" applyProtection="1">
      <alignment horizontal="center"/>
      <protection locked="0"/>
    </xf>
    <xf numFmtId="0" fontId="0" fillId="0" borderId="0" xfId="0"/>
    <xf numFmtId="0" fontId="7" fillId="2" borderId="6" xfId="0" applyFont="1" applyFill="1" applyBorder="1" applyAlignment="1" applyProtection="1">
      <alignment vertical="center"/>
      <protection locked="0"/>
    </xf>
    <xf numFmtId="0" fontId="4" fillId="3" borderId="8" xfId="0" applyFont="1" applyFill="1" applyBorder="1" applyAlignment="1" applyProtection="1">
      <alignment vertical="center"/>
      <protection locked="0"/>
    </xf>
    <xf numFmtId="43" fontId="10" fillId="2" borderId="1" xfId="3" applyFont="1" applyFill="1" applyBorder="1" applyAlignment="1" applyProtection="1">
      <alignment vertical="center"/>
      <protection locked="0"/>
    </xf>
    <xf numFmtId="43" fontId="13" fillId="2" borderId="1" xfId="3"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10" fillId="2" borderId="1" xfId="0" applyFont="1" applyFill="1" applyBorder="1" applyAlignment="1" applyProtection="1">
      <alignment vertical="center" wrapText="1"/>
    </xf>
    <xf numFmtId="0" fontId="10" fillId="2" borderId="1" xfId="0" applyFont="1" applyFill="1" applyBorder="1" applyAlignment="1" applyProtection="1">
      <alignment horizontal="right" vertical="center" wrapText="1"/>
    </xf>
    <xf numFmtId="0" fontId="10" fillId="2" borderId="1" xfId="0" applyFont="1" applyFill="1" applyBorder="1" applyAlignment="1" applyProtection="1">
      <alignment horizontal="left" vertical="top" wrapText="1"/>
    </xf>
    <xf numFmtId="44" fontId="10" fillId="2" borderId="1" xfId="7" applyFont="1" applyFill="1" applyBorder="1" applyAlignment="1" applyProtection="1">
      <alignment vertical="center"/>
    </xf>
    <xf numFmtId="0" fontId="10" fillId="2" borderId="1" xfId="0" applyFont="1" applyFill="1" applyBorder="1" applyAlignment="1" applyProtection="1">
      <alignment horizontal="left" wrapText="1"/>
    </xf>
    <xf numFmtId="0" fontId="10" fillId="2" borderId="1" xfId="0" applyFont="1" applyFill="1" applyBorder="1" applyAlignment="1" applyProtection="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43" fontId="0" fillId="0" borderId="1" xfId="3" applyFont="1" applyBorder="1" applyAlignment="1">
      <alignment vertical="center"/>
    </xf>
    <xf numFmtId="44" fontId="0" fillId="0" borderId="1" xfId="7"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center" wrapText="1"/>
    </xf>
    <xf numFmtId="43" fontId="0" fillId="0" borderId="0" xfId="3" applyFont="1" applyBorder="1" applyAlignment="1">
      <alignment vertical="center"/>
    </xf>
    <xf numFmtId="44" fontId="0" fillId="0" borderId="0" xfId="7" applyFont="1" applyBorder="1" applyAlignment="1">
      <alignment vertical="center"/>
    </xf>
    <xf numFmtId="0" fontId="0" fillId="0" borderId="0" xfId="0" applyBorder="1" applyAlignment="1">
      <alignment horizontal="left" vertical="center" wrapText="1"/>
    </xf>
    <xf numFmtId="0" fontId="0" fillId="0" borderId="1" xfId="0" applyBorder="1" applyAlignment="1">
      <alignment vertical="center" wrapText="1"/>
    </xf>
    <xf numFmtId="0" fontId="0" fillId="0" borderId="0" xfId="0" applyBorder="1" applyAlignment="1">
      <alignment horizontal="center"/>
    </xf>
    <xf numFmtId="0" fontId="0" fillId="0" borderId="0" xfId="0" applyBorder="1" applyAlignment="1">
      <alignment wrapText="1"/>
    </xf>
    <xf numFmtId="43" fontId="0" fillId="0" borderId="0" xfId="3" applyFont="1" applyBorder="1"/>
    <xf numFmtId="44" fontId="0" fillId="0" borderId="0" xfId="7" applyFont="1" applyBorder="1"/>
    <xf numFmtId="0" fontId="10" fillId="0" borderId="1" xfId="0" applyFont="1" applyFill="1" applyBorder="1" applyAlignment="1" applyProtection="1">
      <alignment vertical="center" wrapText="1"/>
    </xf>
    <xf numFmtId="0" fontId="10" fillId="0" borderId="1" xfId="0" applyFont="1" applyFill="1" applyBorder="1" applyAlignment="1" applyProtection="1">
      <alignment horizontal="center" vertical="center"/>
    </xf>
    <xf numFmtId="43" fontId="10" fillId="0" borderId="1" xfId="3" applyFont="1" applyFill="1" applyBorder="1" applyAlignment="1" applyProtection="1">
      <alignment vertical="center"/>
      <protection locked="0"/>
    </xf>
    <xf numFmtId="44" fontId="10" fillId="0" borderId="1" xfId="7" applyFont="1" applyFill="1" applyBorder="1" applyAlignment="1" applyProtection="1">
      <alignment horizontal="center" vertical="center"/>
    </xf>
    <xf numFmtId="0" fontId="6" fillId="0" borderId="0" xfId="0" applyFont="1" applyFill="1" applyProtection="1">
      <protection locked="0"/>
    </xf>
    <xf numFmtId="0" fontId="11" fillId="2" borderId="8"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8" xfId="0" applyFont="1" applyFill="1" applyBorder="1" applyProtection="1"/>
    <xf numFmtId="43" fontId="10" fillId="2" borderId="8" xfId="3" applyFont="1" applyFill="1" applyBorder="1" applyAlignment="1" applyProtection="1">
      <alignment vertical="center"/>
      <protection locked="0"/>
    </xf>
    <xf numFmtId="44" fontId="10" fillId="2" borderId="6" xfId="7" applyFont="1" applyFill="1" applyBorder="1" applyProtection="1"/>
    <xf numFmtId="44" fontId="10" fillId="2" borderId="7" xfId="7" applyFont="1" applyFill="1" applyBorder="1" applyProtection="1"/>
    <xf numFmtId="0" fontId="10" fillId="0" borderId="8"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xf>
    <xf numFmtId="0" fontId="7" fillId="3" borderId="6" xfId="0" applyFont="1" applyFill="1" applyBorder="1" applyAlignment="1" applyProtection="1">
      <alignment horizontal="center"/>
    </xf>
    <xf numFmtId="0" fontId="7" fillId="3" borderId="7" xfId="0" applyFont="1" applyFill="1" applyBorder="1" applyAlignment="1" applyProtection="1">
      <alignment horizontal="center"/>
    </xf>
    <xf numFmtId="0" fontId="8" fillId="2" borderId="1" xfId="0" applyFont="1" applyFill="1" applyBorder="1" applyAlignment="1" applyProtection="1">
      <alignment horizontal="left"/>
      <protection locked="0"/>
    </xf>
    <xf numFmtId="0" fontId="7" fillId="2" borderId="2"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 xfId="0" applyFont="1" applyFill="1" applyBorder="1" applyAlignment="1" applyProtection="1">
      <alignment horizontal="left"/>
      <protection locked="0"/>
    </xf>
    <xf numFmtId="0" fontId="5"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7" fillId="2" borderId="6"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0" fontId="7" fillId="2" borderId="1" xfId="0" applyFont="1" applyFill="1" applyBorder="1" applyAlignment="1" applyProtection="1">
      <alignment horizontal="center"/>
      <protection locked="0"/>
    </xf>
    <xf numFmtId="10" fontId="7" fillId="2" borderId="3" xfId="4" applyNumberFormat="1" applyFont="1" applyFill="1" applyBorder="1" applyAlignment="1" applyProtection="1">
      <alignment horizontal="center" vertical="center"/>
      <protection locked="0"/>
    </xf>
    <xf numFmtId="10" fontId="7" fillId="2" borderId="5" xfId="4" applyNumberFormat="1" applyFont="1" applyFill="1" applyBorder="1" applyAlignment="1" applyProtection="1">
      <alignment horizontal="center" vertical="center"/>
      <protection locked="0"/>
    </xf>
    <xf numFmtId="0" fontId="16" fillId="0" borderId="1" xfId="0" applyFont="1" applyBorder="1" applyAlignment="1">
      <alignment horizontal="center"/>
    </xf>
    <xf numFmtId="0" fontId="0" fillId="0" borderId="1" xfId="0" applyFill="1" applyBorder="1" applyAlignment="1">
      <alignment horizontal="left"/>
    </xf>
    <xf numFmtId="0" fontId="15" fillId="0" borderId="1" xfId="0" applyFont="1" applyFill="1" applyBorder="1" applyAlignment="1">
      <alignment horizontal="left"/>
    </xf>
  </cellXfs>
  <cellStyles count="11">
    <cellStyle name="Moeda" xfId="7" builtinId="4"/>
    <cellStyle name="Normal" xfId="0" builtinId="0"/>
    <cellStyle name="Normal 2" xfId="5"/>
    <cellStyle name="Normal 2 2" xfId="8"/>
    <cellStyle name="Normal 2 2 3" xfId="2"/>
    <cellStyle name="Normal 2 3" xfId="9"/>
    <cellStyle name="Normal 3" xfId="10"/>
    <cellStyle name="Porcentagem" xfId="4" builtinId="5"/>
    <cellStyle name="Separador de milhares" xfId="3" builtinId="3"/>
    <cellStyle name="Separador de milhares 2" xfId="6"/>
    <cellStyle name="Vírgula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609600</xdr:colOff>
      <xdr:row>20</xdr:row>
      <xdr:rowOff>90487</xdr:rowOff>
    </xdr:from>
    <xdr:ext cx="65" cy="172227"/>
    <xdr:sp macro="" textlink="">
      <xdr:nvSpPr>
        <xdr:cNvPr id="2" name="CaixaDeTexto 1">
          <a:extLst>
            <a:ext uri="{FF2B5EF4-FFF2-40B4-BE49-F238E27FC236}">
              <a16:creationId xmlns:a16="http://schemas.microsoft.com/office/drawing/2014/main" xmlns="" id="{00000000-0008-0000-0100-000002000000}"/>
            </a:ext>
          </a:extLst>
        </xdr:cNvPr>
        <xdr:cNvSpPr txBox="1"/>
      </xdr:nvSpPr>
      <xdr:spPr>
        <a:xfrm>
          <a:off x="8458200" y="31765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5</xdr:col>
      <xdr:colOff>609600</xdr:colOff>
      <xdr:row>30</xdr:row>
      <xdr:rowOff>90487</xdr:rowOff>
    </xdr:from>
    <xdr:ext cx="65" cy="172227"/>
    <xdr:sp macro="" textlink="">
      <xdr:nvSpPr>
        <xdr:cNvPr id="3" name="CaixaDeTexto 2">
          <a:extLst>
            <a:ext uri="{FF2B5EF4-FFF2-40B4-BE49-F238E27FC236}">
              <a16:creationId xmlns:a16="http://schemas.microsoft.com/office/drawing/2014/main" xmlns="" id="{00000000-0008-0000-0100-000003000000}"/>
            </a:ext>
          </a:extLst>
        </xdr:cNvPr>
        <xdr:cNvSpPr txBox="1"/>
      </xdr:nvSpPr>
      <xdr:spPr>
        <a:xfrm>
          <a:off x="8458200" y="6043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112"/>
  <sheetViews>
    <sheetView tabSelected="1" view="pageBreakPreview" topLeftCell="A28" zoomScale="85" zoomScaleNormal="77" zoomScaleSheetLayoutView="85" workbookViewId="0">
      <selection activeCell="H10" sqref="H10"/>
    </sheetView>
  </sheetViews>
  <sheetFormatPr defaultColWidth="8.85546875" defaultRowHeight="15"/>
  <cols>
    <col min="1" max="1" width="8.42578125" style="2" customWidth="1"/>
    <col min="2" max="2" width="20.28515625" style="2" customWidth="1"/>
    <col min="3" max="3" width="19.140625" style="2" customWidth="1"/>
    <col min="4" max="4" width="113.140625" style="2" customWidth="1"/>
    <col min="5" max="5" width="10.7109375" style="2" customWidth="1"/>
    <col min="6" max="6" width="16.28515625" style="49" bestFit="1" customWidth="1"/>
    <col min="7" max="7" width="18" style="2" customWidth="1"/>
    <col min="8" max="8" width="18.28515625" style="2" customWidth="1"/>
    <col min="9" max="9" width="27.140625" style="2" customWidth="1"/>
    <col min="10" max="16384" width="8.85546875" style="2"/>
  </cols>
  <sheetData>
    <row r="1" spans="1:16" ht="71.25" customHeight="1">
      <c r="A1" s="94" t="s">
        <v>118</v>
      </c>
      <c r="B1" s="94"/>
      <c r="C1" s="94"/>
      <c r="D1" s="94"/>
      <c r="E1" s="94"/>
      <c r="F1" s="94"/>
      <c r="G1" s="94"/>
      <c r="H1" s="94"/>
      <c r="I1" s="94"/>
    </row>
    <row r="2" spans="1:16" ht="15.75">
      <c r="A2" s="95" t="s">
        <v>69</v>
      </c>
      <c r="B2" s="95"/>
      <c r="C2" s="95"/>
      <c r="D2" s="95"/>
      <c r="E2" s="95"/>
      <c r="F2" s="95"/>
      <c r="G2" s="95" t="s">
        <v>218</v>
      </c>
      <c r="H2" s="96"/>
      <c r="I2" s="96"/>
      <c r="P2" s="44" t="s">
        <v>13</v>
      </c>
    </row>
    <row r="3" spans="1:16" ht="15.75">
      <c r="A3" s="3" t="s">
        <v>138</v>
      </c>
      <c r="B3" s="28"/>
      <c r="C3" s="4"/>
      <c r="D3" s="4"/>
      <c r="E3" s="4"/>
      <c r="F3" s="45" t="s">
        <v>46</v>
      </c>
      <c r="G3" s="5"/>
      <c r="H3" s="3" t="s">
        <v>315</v>
      </c>
      <c r="I3" s="5"/>
      <c r="P3" s="44" t="s">
        <v>47</v>
      </c>
    </row>
    <row r="4" spans="1:16" ht="15.75">
      <c r="A4" s="97" t="s">
        <v>139</v>
      </c>
      <c r="B4" s="98"/>
      <c r="C4" s="98"/>
      <c r="D4" s="98"/>
      <c r="E4" s="99"/>
      <c r="F4" s="100" t="s">
        <v>4</v>
      </c>
      <c r="G4" s="100"/>
      <c r="H4" s="100"/>
      <c r="I4" s="100"/>
      <c r="P4" s="44" t="s">
        <v>48</v>
      </c>
    </row>
    <row r="5" spans="1:16" ht="15.75">
      <c r="A5" s="86" t="s">
        <v>146</v>
      </c>
      <c r="B5" s="86"/>
      <c r="C5" s="86"/>
      <c r="D5" s="86"/>
      <c r="E5" s="86"/>
      <c r="F5" s="87" t="s">
        <v>5</v>
      </c>
      <c r="G5" s="90" t="s">
        <v>6</v>
      </c>
      <c r="H5" s="6" t="s">
        <v>14</v>
      </c>
      <c r="I5" s="5" t="s">
        <v>7</v>
      </c>
      <c r="P5" s="2" t="s">
        <v>54</v>
      </c>
    </row>
    <row r="6" spans="1:16" ht="15.75">
      <c r="A6" s="93" t="s">
        <v>101</v>
      </c>
      <c r="B6" s="93"/>
      <c r="C6" s="86"/>
      <c r="D6" s="86"/>
      <c r="E6" s="86"/>
      <c r="F6" s="88"/>
      <c r="G6" s="91"/>
      <c r="H6" s="87" t="s">
        <v>40</v>
      </c>
      <c r="I6" s="101">
        <v>0.2344</v>
      </c>
    </row>
    <row r="7" spans="1:16" ht="15.75">
      <c r="A7" s="93" t="s">
        <v>122</v>
      </c>
      <c r="B7" s="93"/>
      <c r="C7" s="86"/>
      <c r="D7" s="86"/>
      <c r="E7" s="86"/>
      <c r="F7" s="89"/>
      <c r="G7" s="92"/>
      <c r="H7" s="89"/>
      <c r="I7" s="102"/>
    </row>
    <row r="8" spans="1:16" ht="31.5">
      <c r="A8" s="7" t="s">
        <v>49</v>
      </c>
      <c r="B8" s="7" t="s">
        <v>44</v>
      </c>
      <c r="C8" s="7" t="s">
        <v>0</v>
      </c>
      <c r="D8" s="7" t="s">
        <v>50</v>
      </c>
      <c r="E8" s="7" t="s">
        <v>8</v>
      </c>
      <c r="F8" s="7" t="s">
        <v>9</v>
      </c>
      <c r="G8" s="8" t="s">
        <v>42</v>
      </c>
      <c r="H8" s="8" t="s">
        <v>41</v>
      </c>
      <c r="I8" s="7" t="s">
        <v>10</v>
      </c>
    </row>
    <row r="9" spans="1:16" s="12" customFormat="1" ht="18">
      <c r="A9" s="9">
        <v>1</v>
      </c>
      <c r="B9" s="9"/>
      <c r="C9" s="10"/>
      <c r="D9" s="11" t="s">
        <v>39</v>
      </c>
      <c r="E9" s="1"/>
      <c r="F9" s="46"/>
      <c r="G9" s="84" t="s">
        <v>11</v>
      </c>
      <c r="H9" s="85"/>
      <c r="I9" s="29">
        <f>SUM(I10:I10)</f>
        <v>1677.66</v>
      </c>
    </row>
    <row r="10" spans="1:16" ht="90">
      <c r="A10" s="13" t="s">
        <v>3</v>
      </c>
      <c r="B10" s="37" t="s">
        <v>13</v>
      </c>
      <c r="C10" s="13" t="s">
        <v>64</v>
      </c>
      <c r="D10" s="14" t="s">
        <v>137</v>
      </c>
      <c r="E10" s="15" t="s">
        <v>60</v>
      </c>
      <c r="F10" s="47">
        <v>1</v>
      </c>
      <c r="G10" s="16">
        <v>1359.09</v>
      </c>
      <c r="H10" s="16">
        <f t="shared" ref="H10" si="0">IF(C10=0,"",ROUND(G10+G10*$I$6,2))</f>
        <v>1677.66</v>
      </c>
      <c r="I10" s="16">
        <f t="shared" ref="I10" si="1">IF(C10=0,"",ROUND(F10*H10,2))</f>
        <v>1677.66</v>
      </c>
    </row>
    <row r="11" spans="1:16" ht="18.75">
      <c r="A11" s="17"/>
      <c r="B11" s="17"/>
      <c r="C11" s="13"/>
      <c r="D11" s="18"/>
      <c r="E11" s="19"/>
      <c r="F11" s="47"/>
      <c r="G11" s="20"/>
      <c r="H11" s="20"/>
      <c r="I11" s="21"/>
    </row>
    <row r="12" spans="1:16" s="12" customFormat="1" ht="18">
      <c r="A12" s="9" t="s">
        <v>71</v>
      </c>
      <c r="B12" s="9"/>
      <c r="C12" s="10"/>
      <c r="D12" s="11" t="s">
        <v>102</v>
      </c>
      <c r="E12" s="1"/>
      <c r="F12" s="46"/>
      <c r="G12" s="84" t="s">
        <v>11</v>
      </c>
      <c r="H12" s="85"/>
      <c r="I12" s="29">
        <f>SUM(I13:I26)</f>
        <v>4707.33</v>
      </c>
    </row>
    <row r="13" spans="1:16" ht="54">
      <c r="A13" s="13" t="s">
        <v>72</v>
      </c>
      <c r="B13" s="37" t="s">
        <v>13</v>
      </c>
      <c r="C13" s="40" t="s">
        <v>141</v>
      </c>
      <c r="D13" s="50" t="s">
        <v>140</v>
      </c>
      <c r="E13" s="15" t="s">
        <v>57</v>
      </c>
      <c r="F13" s="47">
        <v>48.27</v>
      </c>
      <c r="G13" s="16">
        <v>22.91</v>
      </c>
      <c r="H13" s="16">
        <f t="shared" ref="H13:H19" si="2">IF(C13=0,"",ROUND(G13+G13*$I$6,2))</f>
        <v>28.28</v>
      </c>
      <c r="I13" s="16">
        <f t="shared" ref="I13:I19" si="3">IF(C13=0,"",ROUND(F13*H13,2))</f>
        <v>1365.08</v>
      </c>
    </row>
    <row r="14" spans="1:16" ht="54">
      <c r="A14" s="13" t="s">
        <v>73</v>
      </c>
      <c r="B14" s="37" t="s">
        <v>13</v>
      </c>
      <c r="C14" s="13" t="s">
        <v>16</v>
      </c>
      <c r="D14" s="50" t="s">
        <v>142</v>
      </c>
      <c r="E14" s="15" t="s">
        <v>57</v>
      </c>
      <c r="F14" s="47">
        <v>26.97</v>
      </c>
      <c r="G14" s="16">
        <v>10.119999999999999</v>
      </c>
      <c r="H14" s="16">
        <f t="shared" si="2"/>
        <v>12.49</v>
      </c>
      <c r="I14" s="16">
        <f t="shared" si="3"/>
        <v>336.86</v>
      </c>
    </row>
    <row r="15" spans="1:16" ht="72">
      <c r="A15" s="13" t="s">
        <v>74</v>
      </c>
      <c r="B15" s="37" t="s">
        <v>13</v>
      </c>
      <c r="C15" s="13" t="s">
        <v>144</v>
      </c>
      <c r="D15" s="50" t="s">
        <v>143</v>
      </c>
      <c r="E15" s="15" t="s">
        <v>60</v>
      </c>
      <c r="F15" s="47">
        <v>4</v>
      </c>
      <c r="G15" s="16">
        <v>10.81</v>
      </c>
      <c r="H15" s="16">
        <f t="shared" si="2"/>
        <v>13.34</v>
      </c>
      <c r="I15" s="16">
        <f t="shared" si="3"/>
        <v>53.36</v>
      </c>
    </row>
    <row r="16" spans="1:16" ht="72">
      <c r="A16" s="13" t="s">
        <v>75</v>
      </c>
      <c r="B16" s="37" t="s">
        <v>13</v>
      </c>
      <c r="C16" s="13" t="s">
        <v>147</v>
      </c>
      <c r="D16" s="50" t="s">
        <v>145</v>
      </c>
      <c r="E16" s="15" t="s">
        <v>57</v>
      </c>
      <c r="F16" s="47">
        <v>7.67</v>
      </c>
      <c r="G16" s="16">
        <v>9.2100000000000009</v>
      </c>
      <c r="H16" s="16">
        <f t="shared" si="2"/>
        <v>11.37</v>
      </c>
      <c r="I16" s="16">
        <f t="shared" si="3"/>
        <v>87.21</v>
      </c>
    </row>
    <row r="17" spans="1:9" ht="54">
      <c r="A17" s="13" t="s">
        <v>76</v>
      </c>
      <c r="B17" s="37" t="s">
        <v>13</v>
      </c>
      <c r="C17" s="13" t="s">
        <v>149</v>
      </c>
      <c r="D17" s="50" t="s">
        <v>148</v>
      </c>
      <c r="E17" s="15" t="s">
        <v>59</v>
      </c>
      <c r="F17" s="47">
        <v>0.28999999999999998</v>
      </c>
      <c r="G17" s="16">
        <v>155.34</v>
      </c>
      <c r="H17" s="16">
        <f t="shared" si="2"/>
        <v>191.75</v>
      </c>
      <c r="I17" s="16">
        <f t="shared" si="3"/>
        <v>55.61</v>
      </c>
    </row>
    <row r="18" spans="1:9" ht="90">
      <c r="A18" s="13" t="s">
        <v>77</v>
      </c>
      <c r="B18" s="37" t="s">
        <v>13</v>
      </c>
      <c r="C18" s="13" t="s">
        <v>124</v>
      </c>
      <c r="D18" s="50" t="s">
        <v>123</v>
      </c>
      <c r="E18" s="15" t="s">
        <v>57</v>
      </c>
      <c r="F18" s="47">
        <v>43.19</v>
      </c>
      <c r="G18" s="16">
        <v>16.93</v>
      </c>
      <c r="H18" s="16">
        <f t="shared" si="2"/>
        <v>20.9</v>
      </c>
      <c r="I18" s="16">
        <f t="shared" si="3"/>
        <v>902.67</v>
      </c>
    </row>
    <row r="19" spans="1:9" ht="108">
      <c r="A19" s="13" t="s">
        <v>78</v>
      </c>
      <c r="B19" s="37" t="s">
        <v>13</v>
      </c>
      <c r="C19" s="13" t="s">
        <v>151</v>
      </c>
      <c r="D19" s="50" t="s">
        <v>150</v>
      </c>
      <c r="E19" s="15" t="s">
        <v>57</v>
      </c>
      <c r="F19" s="47">
        <v>0.5</v>
      </c>
      <c r="G19" s="16">
        <v>54.61</v>
      </c>
      <c r="H19" s="16">
        <f t="shared" si="2"/>
        <v>67.41</v>
      </c>
      <c r="I19" s="16">
        <f t="shared" si="3"/>
        <v>33.71</v>
      </c>
    </row>
    <row r="20" spans="1:9" ht="72">
      <c r="A20" s="13" t="s">
        <v>125</v>
      </c>
      <c r="B20" s="37" t="s">
        <v>13</v>
      </c>
      <c r="C20" s="13" t="s">
        <v>17</v>
      </c>
      <c r="D20" s="50" t="s">
        <v>152</v>
      </c>
      <c r="E20" s="15" t="s">
        <v>57</v>
      </c>
      <c r="F20" s="47">
        <v>48.27</v>
      </c>
      <c r="G20" s="16">
        <v>24.68</v>
      </c>
      <c r="H20" s="16">
        <f t="shared" ref="H20:H21" si="4">IF(C20=0,"",ROUND(G20+G20*$I$6,2))</f>
        <v>30.46</v>
      </c>
      <c r="I20" s="16">
        <f t="shared" ref="I20:I21" si="5">IF(C20=0,"",ROUND(F20*H20,2))</f>
        <v>1470.3</v>
      </c>
    </row>
    <row r="21" spans="1:9" ht="72">
      <c r="A21" s="13" t="s">
        <v>155</v>
      </c>
      <c r="B21" s="37" t="s">
        <v>13</v>
      </c>
      <c r="C21" s="13" t="s">
        <v>154</v>
      </c>
      <c r="D21" s="50" t="s">
        <v>153</v>
      </c>
      <c r="E21" s="15" t="s">
        <v>57</v>
      </c>
      <c r="F21" s="47">
        <v>24.6</v>
      </c>
      <c r="G21" s="16">
        <v>2.13</v>
      </c>
      <c r="H21" s="16">
        <f t="shared" si="4"/>
        <v>2.63</v>
      </c>
      <c r="I21" s="16">
        <f t="shared" si="5"/>
        <v>64.7</v>
      </c>
    </row>
    <row r="22" spans="1:9" ht="90">
      <c r="A22" s="13" t="s">
        <v>158</v>
      </c>
      <c r="B22" s="37" t="s">
        <v>13</v>
      </c>
      <c r="C22" s="13" t="s">
        <v>157</v>
      </c>
      <c r="D22" s="50" t="s">
        <v>156</v>
      </c>
      <c r="E22" s="15" t="s">
        <v>60</v>
      </c>
      <c r="F22" s="47">
        <v>1</v>
      </c>
      <c r="G22" s="16">
        <v>6.54</v>
      </c>
      <c r="H22" s="16">
        <f t="shared" ref="H22" si="6">IF(C22=0,"",ROUND(G22+G22*$I$6,2))</f>
        <v>8.07</v>
      </c>
      <c r="I22" s="16">
        <f t="shared" ref="I22" si="7">IF(C22=0,"",ROUND(F22*H22,2))</f>
        <v>8.07</v>
      </c>
    </row>
    <row r="23" spans="1:9" ht="72">
      <c r="A23" s="13" t="s">
        <v>223</v>
      </c>
      <c r="B23" s="37" t="s">
        <v>13</v>
      </c>
      <c r="C23" s="13" t="s">
        <v>224</v>
      </c>
      <c r="D23" s="50" t="s">
        <v>222</v>
      </c>
      <c r="E23" s="15" t="s">
        <v>60</v>
      </c>
      <c r="F23" s="47">
        <v>2</v>
      </c>
      <c r="G23" s="16">
        <v>43.83</v>
      </c>
      <c r="H23" s="16">
        <f t="shared" ref="H23:H26" si="8">IF(C23=0,"",ROUND(G23+G23*$I$6,2))</f>
        <v>54.1</v>
      </c>
      <c r="I23" s="16">
        <f t="shared" ref="I23:I26" si="9">IF(C23=0,"",ROUND(F23*H23,2))</f>
        <v>108.2</v>
      </c>
    </row>
    <row r="24" spans="1:9" ht="72">
      <c r="A24" s="13" t="s">
        <v>246</v>
      </c>
      <c r="B24" s="37" t="s">
        <v>13</v>
      </c>
      <c r="C24" s="13" t="s">
        <v>245</v>
      </c>
      <c r="D24" s="50" t="s">
        <v>244</v>
      </c>
      <c r="E24" s="15" t="s">
        <v>60</v>
      </c>
      <c r="F24" s="47">
        <v>2</v>
      </c>
      <c r="G24" s="16">
        <v>21.78</v>
      </c>
      <c r="H24" s="16">
        <f t="shared" si="8"/>
        <v>26.89</v>
      </c>
      <c r="I24" s="16">
        <f t="shared" si="9"/>
        <v>53.78</v>
      </c>
    </row>
    <row r="25" spans="1:9" ht="72">
      <c r="A25" s="13" t="s">
        <v>249</v>
      </c>
      <c r="B25" s="37" t="s">
        <v>13</v>
      </c>
      <c r="C25" s="13" t="s">
        <v>248</v>
      </c>
      <c r="D25" s="50" t="s">
        <v>247</v>
      </c>
      <c r="E25" s="15" t="s">
        <v>57</v>
      </c>
      <c r="F25" s="47">
        <v>5.4</v>
      </c>
      <c r="G25" s="16">
        <v>21.08</v>
      </c>
      <c r="H25" s="16">
        <f t="shared" si="8"/>
        <v>26.02</v>
      </c>
      <c r="I25" s="16">
        <f t="shared" si="9"/>
        <v>140.51</v>
      </c>
    </row>
    <row r="26" spans="1:9" ht="54">
      <c r="A26" s="13" t="s">
        <v>252</v>
      </c>
      <c r="B26" s="37" t="s">
        <v>13</v>
      </c>
      <c r="C26" s="13" t="s">
        <v>251</v>
      </c>
      <c r="D26" s="50" t="s">
        <v>250</v>
      </c>
      <c r="E26" s="15" t="s">
        <v>57</v>
      </c>
      <c r="F26" s="47">
        <v>1.31</v>
      </c>
      <c r="G26" s="16">
        <v>16.87</v>
      </c>
      <c r="H26" s="16">
        <f t="shared" si="8"/>
        <v>20.82</v>
      </c>
      <c r="I26" s="16">
        <f t="shared" si="9"/>
        <v>27.27</v>
      </c>
    </row>
    <row r="27" spans="1:9" ht="18.75">
      <c r="A27" s="17"/>
      <c r="B27" s="17"/>
      <c r="C27" s="13"/>
      <c r="D27" s="51"/>
      <c r="E27" s="19"/>
      <c r="F27" s="47"/>
      <c r="G27" s="20"/>
      <c r="H27" s="20"/>
      <c r="I27" s="21"/>
    </row>
    <row r="28" spans="1:9" s="12" customFormat="1" ht="18">
      <c r="A28" s="9" t="s">
        <v>79</v>
      </c>
      <c r="B28" s="9"/>
      <c r="C28" s="10"/>
      <c r="D28" s="11" t="s">
        <v>259</v>
      </c>
      <c r="E28" s="1"/>
      <c r="F28" s="46"/>
      <c r="G28" s="84" t="s">
        <v>11</v>
      </c>
      <c r="H28" s="85"/>
      <c r="I28" s="29">
        <f>SUM(I29:I33)</f>
        <v>5861.3200000000006</v>
      </c>
    </row>
    <row r="29" spans="1:9" ht="54">
      <c r="A29" s="13" t="s">
        <v>80</v>
      </c>
      <c r="B29" s="37" t="s">
        <v>13</v>
      </c>
      <c r="C29" s="13" t="s">
        <v>35</v>
      </c>
      <c r="D29" s="14" t="s">
        <v>159</v>
      </c>
      <c r="E29" s="15" t="s">
        <v>57</v>
      </c>
      <c r="F29" s="47">
        <v>57.28</v>
      </c>
      <c r="G29" s="16">
        <v>9.34</v>
      </c>
      <c r="H29" s="16">
        <f t="shared" ref="H29:H31" si="10">IF(C29=0,"",ROUND(G29+G29*$I$6,2))</f>
        <v>11.53</v>
      </c>
      <c r="I29" s="16">
        <f t="shared" ref="I29:I31" si="11">IF(C29=0,"",ROUND(F29*H29,2))</f>
        <v>660.44</v>
      </c>
    </row>
    <row r="30" spans="1:9" ht="54">
      <c r="A30" s="13" t="s">
        <v>81</v>
      </c>
      <c r="B30" s="37" t="s">
        <v>13</v>
      </c>
      <c r="C30" s="13" t="s">
        <v>36</v>
      </c>
      <c r="D30" s="14" t="s">
        <v>67</v>
      </c>
      <c r="E30" s="15" t="s">
        <v>57</v>
      </c>
      <c r="F30" s="47">
        <v>57.28</v>
      </c>
      <c r="G30" s="16">
        <v>35.229999999999997</v>
      </c>
      <c r="H30" s="16">
        <f t="shared" si="10"/>
        <v>43.49</v>
      </c>
      <c r="I30" s="16">
        <f t="shared" si="11"/>
        <v>2491.11</v>
      </c>
    </row>
    <row r="31" spans="1:9" ht="72">
      <c r="A31" s="13" t="s">
        <v>82</v>
      </c>
      <c r="B31" s="37" t="s">
        <v>13</v>
      </c>
      <c r="C31" s="13" t="s">
        <v>37</v>
      </c>
      <c r="D31" s="14" t="s">
        <v>38</v>
      </c>
      <c r="E31" s="15" t="s">
        <v>57</v>
      </c>
      <c r="F31" s="47">
        <v>25.46</v>
      </c>
      <c r="G31" s="16">
        <v>70.63</v>
      </c>
      <c r="H31" s="16">
        <f t="shared" si="10"/>
        <v>87.19</v>
      </c>
      <c r="I31" s="16">
        <f t="shared" si="11"/>
        <v>2219.86</v>
      </c>
    </row>
    <row r="32" spans="1:9" ht="36">
      <c r="A32" s="13" t="s">
        <v>253</v>
      </c>
      <c r="B32" s="37" t="s">
        <v>13</v>
      </c>
      <c r="C32" s="13" t="s">
        <v>255</v>
      </c>
      <c r="D32" s="14" t="s">
        <v>256</v>
      </c>
      <c r="E32" s="15" t="s">
        <v>57</v>
      </c>
      <c r="F32" s="47">
        <v>4.24</v>
      </c>
      <c r="G32" s="16">
        <v>39.76</v>
      </c>
      <c r="H32" s="16">
        <f t="shared" ref="H32" si="12">IF(C32=0,"",ROUND(G32+G32*$I$6,2))</f>
        <v>49.08</v>
      </c>
      <c r="I32" s="16">
        <f t="shared" ref="I32" si="13">IF(C32=0,"",ROUND(F32*H32,2))</f>
        <v>208.1</v>
      </c>
    </row>
    <row r="33" spans="1:9" ht="72">
      <c r="A33" s="13" t="s">
        <v>254</v>
      </c>
      <c r="B33" s="37" t="s">
        <v>13</v>
      </c>
      <c r="C33" s="13" t="s">
        <v>258</v>
      </c>
      <c r="D33" s="50" t="s">
        <v>257</v>
      </c>
      <c r="E33" s="15" t="s">
        <v>57</v>
      </c>
      <c r="F33" s="47">
        <v>2.93</v>
      </c>
      <c r="G33" s="16">
        <v>77.92</v>
      </c>
      <c r="H33" s="16">
        <f t="shared" ref="H33" si="14">IF(C33=0,"",ROUND(G33+G33*$I$6,2))</f>
        <v>96.18</v>
      </c>
      <c r="I33" s="16">
        <f t="shared" ref="I33" si="15">IF(C33=0,"",ROUND(F33*H33,2))</f>
        <v>281.81</v>
      </c>
    </row>
    <row r="34" spans="1:9" ht="18.75">
      <c r="A34" s="17"/>
      <c r="B34" s="17"/>
      <c r="C34" s="13"/>
      <c r="D34" s="18"/>
      <c r="E34" s="19"/>
      <c r="F34" s="47"/>
      <c r="G34" s="20"/>
      <c r="H34" s="20"/>
      <c r="I34" s="21"/>
    </row>
    <row r="35" spans="1:9" s="12" customFormat="1" ht="18">
      <c r="A35" s="9" t="s">
        <v>83</v>
      </c>
      <c r="B35" s="9"/>
      <c r="C35" s="10"/>
      <c r="D35" s="11" t="s">
        <v>61</v>
      </c>
      <c r="E35" s="1"/>
      <c r="F35" s="46"/>
      <c r="G35" s="84" t="s">
        <v>11</v>
      </c>
      <c r="H35" s="85"/>
      <c r="I35" s="29">
        <f>SUM(I36:I53)</f>
        <v>7450.65</v>
      </c>
    </row>
    <row r="36" spans="1:9" ht="54">
      <c r="A36" s="13" t="s">
        <v>84</v>
      </c>
      <c r="B36" s="37" t="s">
        <v>13</v>
      </c>
      <c r="C36" s="13" t="s">
        <v>128</v>
      </c>
      <c r="D36" s="50" t="s">
        <v>127</v>
      </c>
      <c r="E36" s="15" t="s">
        <v>60</v>
      </c>
      <c r="F36" s="47">
        <v>1</v>
      </c>
      <c r="G36" s="16">
        <v>62.83</v>
      </c>
      <c r="H36" s="16">
        <f t="shared" ref="H36:H42" si="16">IF(C36=0,"",ROUND(G36+G36*$I$6,2))</f>
        <v>77.56</v>
      </c>
      <c r="I36" s="16">
        <f t="shared" ref="I36:I42" si="17">IF(C36=0,"",ROUND(F36*H36,2))</f>
        <v>77.56</v>
      </c>
    </row>
    <row r="37" spans="1:9" ht="54">
      <c r="A37" s="13" t="s">
        <v>85</v>
      </c>
      <c r="B37" s="37" t="s">
        <v>13</v>
      </c>
      <c r="C37" s="13" t="s">
        <v>161</v>
      </c>
      <c r="D37" s="50" t="s">
        <v>160</v>
      </c>
      <c r="E37" s="15" t="s">
        <v>60</v>
      </c>
      <c r="F37" s="47">
        <v>2</v>
      </c>
      <c r="G37" s="16">
        <v>234.85</v>
      </c>
      <c r="H37" s="16">
        <f t="shared" si="16"/>
        <v>289.89999999999998</v>
      </c>
      <c r="I37" s="16">
        <f t="shared" si="17"/>
        <v>579.79999999999995</v>
      </c>
    </row>
    <row r="38" spans="1:9" ht="54">
      <c r="A38" s="13" t="s">
        <v>86</v>
      </c>
      <c r="B38" s="37" t="s">
        <v>13</v>
      </c>
      <c r="C38" s="40" t="s">
        <v>163</v>
      </c>
      <c r="D38" s="50" t="s">
        <v>162</v>
      </c>
      <c r="E38" s="15" t="s">
        <v>60</v>
      </c>
      <c r="F38" s="47">
        <v>2</v>
      </c>
      <c r="G38" s="16">
        <v>110.87</v>
      </c>
      <c r="H38" s="16">
        <f t="shared" si="16"/>
        <v>136.86000000000001</v>
      </c>
      <c r="I38" s="16">
        <f t="shared" si="17"/>
        <v>273.72000000000003</v>
      </c>
    </row>
    <row r="39" spans="1:9" ht="54">
      <c r="A39" s="13" t="s">
        <v>87</v>
      </c>
      <c r="B39" s="37" t="s">
        <v>13</v>
      </c>
      <c r="C39" s="13" t="s">
        <v>165</v>
      </c>
      <c r="D39" s="50" t="s">
        <v>164</v>
      </c>
      <c r="E39" s="15" t="s">
        <v>60</v>
      </c>
      <c r="F39" s="47">
        <v>1</v>
      </c>
      <c r="G39" s="16">
        <v>391.83</v>
      </c>
      <c r="H39" s="16">
        <f t="shared" si="16"/>
        <v>483.67</v>
      </c>
      <c r="I39" s="16">
        <f t="shared" si="17"/>
        <v>483.67</v>
      </c>
    </row>
    <row r="40" spans="1:9" ht="54">
      <c r="A40" s="13" t="s">
        <v>88</v>
      </c>
      <c r="B40" s="37" t="s">
        <v>47</v>
      </c>
      <c r="C40" s="13">
        <v>86929</v>
      </c>
      <c r="D40" s="50" t="s">
        <v>166</v>
      </c>
      <c r="E40" s="15" t="s">
        <v>60</v>
      </c>
      <c r="F40" s="47">
        <v>1</v>
      </c>
      <c r="G40" s="16">
        <v>390.48</v>
      </c>
      <c r="H40" s="16">
        <f t="shared" si="16"/>
        <v>482.01</v>
      </c>
      <c r="I40" s="16">
        <f t="shared" si="17"/>
        <v>482.01</v>
      </c>
    </row>
    <row r="41" spans="1:9" ht="36">
      <c r="A41" s="13" t="s">
        <v>89</v>
      </c>
      <c r="B41" s="37" t="s">
        <v>13</v>
      </c>
      <c r="C41" s="40" t="s">
        <v>126</v>
      </c>
      <c r="D41" s="50" t="s">
        <v>167</v>
      </c>
      <c r="E41" s="15" t="s">
        <v>57</v>
      </c>
      <c r="F41" s="47">
        <v>2.06</v>
      </c>
      <c r="G41" s="16">
        <v>388.06</v>
      </c>
      <c r="H41" s="16">
        <f t="shared" si="16"/>
        <v>479.02</v>
      </c>
      <c r="I41" s="16">
        <f t="shared" si="17"/>
        <v>986.78</v>
      </c>
    </row>
    <row r="42" spans="1:9" ht="108">
      <c r="A42" s="13" t="s">
        <v>90</v>
      </c>
      <c r="B42" s="37" t="s">
        <v>13</v>
      </c>
      <c r="C42" s="13" t="s">
        <v>18</v>
      </c>
      <c r="D42" s="50" t="s">
        <v>168</v>
      </c>
      <c r="E42" s="15" t="s">
        <v>60</v>
      </c>
      <c r="F42" s="47">
        <v>4</v>
      </c>
      <c r="G42" s="16">
        <v>157.09</v>
      </c>
      <c r="H42" s="16">
        <f t="shared" si="16"/>
        <v>193.91</v>
      </c>
      <c r="I42" s="16">
        <f t="shared" si="17"/>
        <v>775.64</v>
      </c>
    </row>
    <row r="43" spans="1:9" ht="90">
      <c r="A43" s="13" t="s">
        <v>129</v>
      </c>
      <c r="B43" s="37" t="s">
        <v>13</v>
      </c>
      <c r="C43" s="13" t="s">
        <v>170</v>
      </c>
      <c r="D43" s="50" t="s">
        <v>169</v>
      </c>
      <c r="E43" s="15" t="s">
        <v>60</v>
      </c>
      <c r="F43" s="47">
        <v>5</v>
      </c>
      <c r="G43" s="16">
        <v>134.4</v>
      </c>
      <c r="H43" s="16">
        <f t="shared" ref="H43:H46" si="18">IF(C43=0,"",ROUND(G43+G43*$I$6,2))</f>
        <v>165.9</v>
      </c>
      <c r="I43" s="16">
        <f t="shared" ref="I43:I46" si="19">IF(C43=0,"",ROUND(F43*H43,2))</f>
        <v>829.5</v>
      </c>
    </row>
    <row r="44" spans="1:9" ht="54">
      <c r="A44" s="13" t="s">
        <v>130</v>
      </c>
      <c r="B44" s="37" t="s">
        <v>13</v>
      </c>
      <c r="C44" s="13" t="s">
        <v>172</v>
      </c>
      <c r="D44" s="50" t="s">
        <v>171</v>
      </c>
      <c r="E44" s="15" t="s">
        <v>60</v>
      </c>
      <c r="F44" s="47">
        <v>2</v>
      </c>
      <c r="G44" s="16">
        <v>200.58</v>
      </c>
      <c r="H44" s="16">
        <f t="shared" si="18"/>
        <v>247.6</v>
      </c>
      <c r="I44" s="16">
        <f t="shared" si="19"/>
        <v>495.2</v>
      </c>
    </row>
    <row r="45" spans="1:9" ht="72">
      <c r="A45" s="13" t="s">
        <v>131</v>
      </c>
      <c r="B45" s="37" t="s">
        <v>13</v>
      </c>
      <c r="C45" s="13" t="s">
        <v>174</v>
      </c>
      <c r="D45" s="50" t="s">
        <v>173</v>
      </c>
      <c r="E45" s="15" t="s">
        <v>60</v>
      </c>
      <c r="F45" s="47">
        <v>1</v>
      </c>
      <c r="G45" s="16">
        <v>152.97</v>
      </c>
      <c r="H45" s="16">
        <f t="shared" si="18"/>
        <v>188.83</v>
      </c>
      <c r="I45" s="16">
        <f t="shared" si="19"/>
        <v>188.83</v>
      </c>
    </row>
    <row r="46" spans="1:9" ht="54">
      <c r="A46" s="13" t="s">
        <v>132</v>
      </c>
      <c r="B46" s="37" t="s">
        <v>13</v>
      </c>
      <c r="C46" s="13" t="s">
        <v>176</v>
      </c>
      <c r="D46" s="50" t="s">
        <v>175</v>
      </c>
      <c r="E46" s="15" t="s">
        <v>60</v>
      </c>
      <c r="F46" s="47">
        <v>1</v>
      </c>
      <c r="G46" s="16">
        <v>203.75</v>
      </c>
      <c r="H46" s="16">
        <f t="shared" si="18"/>
        <v>251.51</v>
      </c>
      <c r="I46" s="16">
        <f t="shared" si="19"/>
        <v>251.51</v>
      </c>
    </row>
    <row r="47" spans="1:9" ht="90">
      <c r="A47" s="13" t="s">
        <v>225</v>
      </c>
      <c r="B47" s="37" t="s">
        <v>54</v>
      </c>
      <c r="C47" s="13" t="s">
        <v>55</v>
      </c>
      <c r="D47" s="50" t="s">
        <v>232</v>
      </c>
      <c r="E47" s="15" t="s">
        <v>60</v>
      </c>
      <c r="F47" s="47">
        <v>1</v>
      </c>
      <c r="G47" s="16">
        <v>367.24</v>
      </c>
      <c r="H47" s="16">
        <f t="shared" ref="H47:H53" si="20">IF(C47=0,"",ROUND(G47+G47*$I$6,2))</f>
        <v>453.32</v>
      </c>
      <c r="I47" s="16">
        <f t="shared" ref="I47:I53" si="21">IF(C47=0,"",ROUND(F47*H47,2))</f>
        <v>453.32</v>
      </c>
    </row>
    <row r="48" spans="1:9" s="75" customFormat="1" ht="72">
      <c r="A48" s="37" t="s">
        <v>226</v>
      </c>
      <c r="B48" s="37" t="s">
        <v>54</v>
      </c>
      <c r="C48" s="37" t="s">
        <v>119</v>
      </c>
      <c r="D48" s="71" t="s">
        <v>233</v>
      </c>
      <c r="E48" s="72" t="s">
        <v>60</v>
      </c>
      <c r="F48" s="73">
        <v>1</v>
      </c>
      <c r="G48" s="74">
        <v>114.46</v>
      </c>
      <c r="H48" s="74">
        <f t="shared" si="20"/>
        <v>141.29</v>
      </c>
      <c r="I48" s="74">
        <f t="shared" si="21"/>
        <v>141.29</v>
      </c>
    </row>
    <row r="49" spans="1:9" ht="36">
      <c r="A49" s="13" t="s">
        <v>227</v>
      </c>
      <c r="B49" s="37" t="s">
        <v>13</v>
      </c>
      <c r="C49" s="13" t="s">
        <v>235</v>
      </c>
      <c r="D49" s="50" t="s">
        <v>234</v>
      </c>
      <c r="E49" s="15" t="s">
        <v>60</v>
      </c>
      <c r="F49" s="47">
        <v>4</v>
      </c>
      <c r="G49" s="16">
        <v>47.99</v>
      </c>
      <c r="H49" s="16">
        <f t="shared" si="20"/>
        <v>59.24</v>
      </c>
      <c r="I49" s="16">
        <f t="shared" si="21"/>
        <v>236.96</v>
      </c>
    </row>
    <row r="50" spans="1:9" ht="36">
      <c r="A50" s="13" t="s">
        <v>228</v>
      </c>
      <c r="B50" s="37" t="s">
        <v>13</v>
      </c>
      <c r="C50" s="13" t="s">
        <v>237</v>
      </c>
      <c r="D50" s="50" t="s">
        <v>236</v>
      </c>
      <c r="E50" s="15" t="s">
        <v>60</v>
      </c>
      <c r="F50" s="47">
        <v>1</v>
      </c>
      <c r="G50" s="16">
        <v>114.33</v>
      </c>
      <c r="H50" s="16">
        <f t="shared" si="20"/>
        <v>141.13</v>
      </c>
      <c r="I50" s="16">
        <f t="shared" si="21"/>
        <v>141.13</v>
      </c>
    </row>
    <row r="51" spans="1:9" ht="72">
      <c r="A51" s="13" t="s">
        <v>229</v>
      </c>
      <c r="B51" s="37" t="s">
        <v>13</v>
      </c>
      <c r="C51" s="13" t="s">
        <v>239</v>
      </c>
      <c r="D51" s="50" t="s">
        <v>238</v>
      </c>
      <c r="E51" s="15" t="s">
        <v>60</v>
      </c>
      <c r="F51" s="47">
        <v>1</v>
      </c>
      <c r="G51" s="16">
        <v>296.25</v>
      </c>
      <c r="H51" s="16">
        <f t="shared" si="20"/>
        <v>365.69</v>
      </c>
      <c r="I51" s="16">
        <f t="shared" si="21"/>
        <v>365.69</v>
      </c>
    </row>
    <row r="52" spans="1:9" ht="36">
      <c r="A52" s="13" t="s">
        <v>230</v>
      </c>
      <c r="B52" s="37" t="s">
        <v>13</v>
      </c>
      <c r="C52" s="13" t="s">
        <v>241</v>
      </c>
      <c r="D52" s="50" t="s">
        <v>240</v>
      </c>
      <c r="E52" s="15" t="s">
        <v>58</v>
      </c>
      <c r="F52" s="47">
        <v>6.15</v>
      </c>
      <c r="G52" s="16">
        <v>35.700000000000003</v>
      </c>
      <c r="H52" s="16">
        <f t="shared" si="20"/>
        <v>44.07</v>
      </c>
      <c r="I52" s="16">
        <f t="shared" si="21"/>
        <v>271.02999999999997</v>
      </c>
    </row>
    <row r="53" spans="1:9" ht="36">
      <c r="A53" s="13" t="s">
        <v>231</v>
      </c>
      <c r="B53" s="37" t="s">
        <v>13</v>
      </c>
      <c r="C53" s="13" t="s">
        <v>243</v>
      </c>
      <c r="D53" s="50" t="s">
        <v>242</v>
      </c>
      <c r="E53" s="15" t="s">
        <v>60</v>
      </c>
      <c r="F53" s="47">
        <v>1</v>
      </c>
      <c r="G53" s="16">
        <v>337.82</v>
      </c>
      <c r="H53" s="16">
        <f t="shared" si="20"/>
        <v>417.01</v>
      </c>
      <c r="I53" s="16">
        <f t="shared" si="21"/>
        <v>417.01</v>
      </c>
    </row>
    <row r="54" spans="1:9" ht="18.75">
      <c r="A54" s="17"/>
      <c r="B54" s="17"/>
      <c r="C54" s="13"/>
      <c r="D54" s="18"/>
      <c r="E54" s="19"/>
      <c r="F54" s="47"/>
      <c r="G54" s="20"/>
      <c r="H54" s="20"/>
      <c r="I54" s="21"/>
    </row>
    <row r="55" spans="1:9" s="12" customFormat="1" ht="18">
      <c r="A55" s="9" t="s">
        <v>91</v>
      </c>
      <c r="B55" s="9"/>
      <c r="C55" s="10"/>
      <c r="D55" s="11" t="s">
        <v>43</v>
      </c>
      <c r="E55" s="1"/>
      <c r="F55" s="46"/>
      <c r="G55" s="84" t="s">
        <v>11</v>
      </c>
      <c r="H55" s="85"/>
      <c r="I55" s="29">
        <f>SUM(I56:I58)</f>
        <v>3610.3999999999996</v>
      </c>
    </row>
    <row r="56" spans="1:9" ht="69" customHeight="1">
      <c r="A56" s="13" t="s">
        <v>92</v>
      </c>
      <c r="B56" s="37" t="s">
        <v>47</v>
      </c>
      <c r="C56" s="40">
        <v>97610</v>
      </c>
      <c r="D56" s="50" t="s">
        <v>177</v>
      </c>
      <c r="E56" s="15" t="s">
        <v>60</v>
      </c>
      <c r="F56" s="47">
        <v>5</v>
      </c>
      <c r="G56" s="16">
        <v>13.98</v>
      </c>
      <c r="H56" s="16">
        <f t="shared" ref="H56:H58" si="22">IF(C56=0,"",ROUND(G56+G56*$I$6,2))</f>
        <v>17.260000000000002</v>
      </c>
      <c r="I56" s="16">
        <f t="shared" ref="I56:I58" si="23">IF(C56=0,"",ROUND(F56*H56,2))</f>
        <v>86.3</v>
      </c>
    </row>
    <row r="57" spans="1:9" ht="128.25" customHeight="1">
      <c r="A57" s="13" t="s">
        <v>93</v>
      </c>
      <c r="B57" s="37" t="s">
        <v>13</v>
      </c>
      <c r="C57" s="40" t="s">
        <v>179</v>
      </c>
      <c r="D57" s="50" t="s">
        <v>178</v>
      </c>
      <c r="E57" s="15" t="s">
        <v>60</v>
      </c>
      <c r="F57" s="47">
        <v>3</v>
      </c>
      <c r="G57" s="16">
        <v>143.26</v>
      </c>
      <c r="H57" s="16">
        <f t="shared" si="22"/>
        <v>176.84</v>
      </c>
      <c r="I57" s="16">
        <f t="shared" si="23"/>
        <v>530.52</v>
      </c>
    </row>
    <row r="58" spans="1:9" ht="144.75" customHeight="1">
      <c r="A58" s="13" t="s">
        <v>94</v>
      </c>
      <c r="B58" s="37" t="s">
        <v>13</v>
      </c>
      <c r="C58" s="40" t="s">
        <v>133</v>
      </c>
      <c r="D58" s="14" t="s">
        <v>180</v>
      </c>
      <c r="E58" s="15" t="s">
        <v>60</v>
      </c>
      <c r="F58" s="47">
        <v>9</v>
      </c>
      <c r="G58" s="16">
        <v>269.45999999999998</v>
      </c>
      <c r="H58" s="16">
        <f t="shared" si="22"/>
        <v>332.62</v>
      </c>
      <c r="I58" s="16">
        <f t="shared" si="23"/>
        <v>2993.58</v>
      </c>
    </row>
    <row r="59" spans="1:9" ht="18.75">
      <c r="A59" s="17"/>
      <c r="B59" s="17"/>
      <c r="C59" s="13"/>
      <c r="D59" s="18"/>
      <c r="E59" s="19"/>
      <c r="F59" s="47"/>
      <c r="G59" s="20"/>
      <c r="H59" s="20"/>
      <c r="I59" s="21"/>
    </row>
    <row r="60" spans="1:9" s="12" customFormat="1" ht="18">
      <c r="A60" s="9" t="s">
        <v>95</v>
      </c>
      <c r="B60" s="9"/>
      <c r="C60" s="10"/>
      <c r="D60" s="11" t="s">
        <v>103</v>
      </c>
      <c r="E60" s="1"/>
      <c r="F60" s="46"/>
      <c r="G60" s="84" t="s">
        <v>11</v>
      </c>
      <c r="H60" s="85"/>
      <c r="I60" s="29">
        <f>SUM(I61:I68)</f>
        <v>25422.49</v>
      </c>
    </row>
    <row r="61" spans="1:9" ht="36">
      <c r="A61" s="13" t="s">
        <v>96</v>
      </c>
      <c r="B61" s="37" t="s">
        <v>13</v>
      </c>
      <c r="C61" s="13" t="s">
        <v>15</v>
      </c>
      <c r="D61" s="50" t="s">
        <v>68</v>
      </c>
      <c r="E61" s="15" t="s">
        <v>57</v>
      </c>
      <c r="F61" s="47">
        <v>48.27</v>
      </c>
      <c r="G61" s="16">
        <v>134.96</v>
      </c>
      <c r="H61" s="16">
        <f t="shared" ref="H61:H63" si="24">IF(C61=0,"",ROUND(G61+G61*$I$6,2))</f>
        <v>166.59</v>
      </c>
      <c r="I61" s="16">
        <f t="shared" ref="I61:I63" si="25">IF(C61=0,"",ROUND(F61*H61,2))</f>
        <v>8041.3</v>
      </c>
    </row>
    <row r="62" spans="1:9" ht="79.5" customHeight="1">
      <c r="A62" s="13" t="s">
        <v>97</v>
      </c>
      <c r="B62" s="37" t="s">
        <v>13</v>
      </c>
      <c r="C62" s="13" t="s">
        <v>182</v>
      </c>
      <c r="D62" s="50" t="s">
        <v>181</v>
      </c>
      <c r="E62" s="15" t="s">
        <v>183</v>
      </c>
      <c r="F62" s="47">
        <v>196.82</v>
      </c>
      <c r="G62" s="16">
        <v>22.54</v>
      </c>
      <c r="H62" s="16">
        <f t="shared" si="24"/>
        <v>27.82</v>
      </c>
      <c r="I62" s="16">
        <f t="shared" si="25"/>
        <v>5475.53</v>
      </c>
    </row>
    <row r="63" spans="1:9" ht="90">
      <c r="A63" s="13" t="s">
        <v>98</v>
      </c>
      <c r="B63" s="37" t="s">
        <v>13</v>
      </c>
      <c r="C63" s="40" t="s">
        <v>221</v>
      </c>
      <c r="D63" s="50" t="s">
        <v>220</v>
      </c>
      <c r="E63" s="15" t="s">
        <v>57</v>
      </c>
      <c r="F63" s="47">
        <v>29.11</v>
      </c>
      <c r="G63" s="16">
        <v>267.64999999999998</v>
      </c>
      <c r="H63" s="16">
        <f t="shared" si="24"/>
        <v>330.39</v>
      </c>
      <c r="I63" s="16">
        <f t="shared" si="25"/>
        <v>9617.65</v>
      </c>
    </row>
    <row r="64" spans="1:9" ht="36">
      <c r="A64" s="13" t="s">
        <v>184</v>
      </c>
      <c r="B64" s="37" t="s">
        <v>13</v>
      </c>
      <c r="C64" s="40" t="s">
        <v>186</v>
      </c>
      <c r="D64" s="50" t="s">
        <v>185</v>
      </c>
      <c r="E64" s="15" t="s">
        <v>58</v>
      </c>
      <c r="F64" s="47">
        <v>9.3000000000000007</v>
      </c>
      <c r="G64" s="16">
        <v>45.99</v>
      </c>
      <c r="H64" s="16">
        <f t="shared" ref="H64" si="26">IF(C64=0,"",ROUND(G64+G64*$I$6,2))</f>
        <v>56.77</v>
      </c>
      <c r="I64" s="16">
        <f t="shared" ref="I64" si="27">IF(C64=0,"",ROUND(F64*H64,2))</f>
        <v>527.96</v>
      </c>
    </row>
    <row r="65" spans="1:9" ht="36">
      <c r="A65" s="13" t="s">
        <v>291</v>
      </c>
      <c r="B65" s="37" t="s">
        <v>13</v>
      </c>
      <c r="C65" s="37" t="s">
        <v>292</v>
      </c>
      <c r="D65" s="50" t="s">
        <v>293</v>
      </c>
      <c r="E65" s="15" t="s">
        <v>57</v>
      </c>
      <c r="F65" s="47">
        <v>20.21</v>
      </c>
      <c r="G65" s="16">
        <v>60.05</v>
      </c>
      <c r="H65" s="16">
        <f t="shared" ref="H65" si="28">IF(C65=0,"",ROUND(G65+G65*$I$6,2))</f>
        <v>74.13</v>
      </c>
      <c r="I65" s="16">
        <f t="shared" ref="I65" si="29">IF(C65=0,"",ROUND(F65*H65,2))</f>
        <v>1498.17</v>
      </c>
    </row>
    <row r="66" spans="1:9" ht="36">
      <c r="A66" s="13" t="s">
        <v>305</v>
      </c>
      <c r="B66" s="37" t="s">
        <v>48</v>
      </c>
      <c r="C66" s="13">
        <v>13279</v>
      </c>
      <c r="D66" s="55" t="s">
        <v>304</v>
      </c>
      <c r="E66" s="15" t="s">
        <v>183</v>
      </c>
      <c r="F66" s="47">
        <v>1</v>
      </c>
      <c r="G66" s="16">
        <v>28.21</v>
      </c>
      <c r="H66" s="16">
        <f t="shared" ref="H66" si="30">IF(C66=0,"",ROUND(G66+G66*$I$6,2))</f>
        <v>34.82</v>
      </c>
      <c r="I66" s="16">
        <f t="shared" ref="I66" si="31">IF(C66=0,"",ROUND(F66*H66,2))</f>
        <v>34.82</v>
      </c>
    </row>
    <row r="67" spans="1:9" ht="36">
      <c r="A67" s="13" t="s">
        <v>306</v>
      </c>
      <c r="B67" s="82" t="s">
        <v>13</v>
      </c>
      <c r="C67" s="77" t="s">
        <v>309</v>
      </c>
      <c r="D67" s="55" t="s">
        <v>308</v>
      </c>
      <c r="E67" s="83" t="s">
        <v>59</v>
      </c>
      <c r="F67" s="79">
        <v>0.13</v>
      </c>
      <c r="G67" s="16">
        <v>771.14</v>
      </c>
      <c r="H67" s="16">
        <f t="shared" ref="H67:H68" si="32">IF(C67=0,"",ROUND(G67+G67*$I$6,2))</f>
        <v>951.9</v>
      </c>
      <c r="I67" s="16">
        <f t="shared" ref="I67:I68" si="33">IF(C67=0,"",ROUND(F67*H67,2))</f>
        <v>123.75</v>
      </c>
    </row>
    <row r="68" spans="1:9" ht="36">
      <c r="A68" s="13" t="s">
        <v>307</v>
      </c>
      <c r="B68" s="82" t="s">
        <v>13</v>
      </c>
      <c r="C68" s="77" t="s">
        <v>310</v>
      </c>
      <c r="D68" s="55" t="s">
        <v>311</v>
      </c>
      <c r="E68" s="15" t="s">
        <v>183</v>
      </c>
      <c r="F68" s="79">
        <v>6.99</v>
      </c>
      <c r="G68" s="16">
        <v>11.97</v>
      </c>
      <c r="H68" s="16">
        <f t="shared" si="32"/>
        <v>14.78</v>
      </c>
      <c r="I68" s="16">
        <f t="shared" si="33"/>
        <v>103.31</v>
      </c>
    </row>
    <row r="69" spans="1:9" ht="18.75">
      <c r="A69" s="76"/>
      <c r="B69" s="76"/>
      <c r="C69" s="77"/>
      <c r="D69" s="51"/>
      <c r="E69" s="78"/>
      <c r="F69" s="79"/>
      <c r="G69" s="80"/>
      <c r="H69" s="81"/>
      <c r="I69" s="21"/>
    </row>
    <row r="70" spans="1:9" s="12" customFormat="1" ht="18">
      <c r="A70" s="9" t="s">
        <v>99</v>
      </c>
      <c r="B70" s="9"/>
      <c r="C70" s="10"/>
      <c r="D70" s="11" t="s">
        <v>116</v>
      </c>
      <c r="E70" s="1"/>
      <c r="F70" s="46"/>
      <c r="G70" s="84" t="s">
        <v>11</v>
      </c>
      <c r="H70" s="85"/>
      <c r="I70" s="29">
        <f>SUM(I71:I82)</f>
        <v>8841.06</v>
      </c>
    </row>
    <row r="71" spans="1:9" ht="18">
      <c r="A71" s="13" t="s">
        <v>100</v>
      </c>
      <c r="B71" s="37" t="s">
        <v>13</v>
      </c>
      <c r="C71" s="13" t="s">
        <v>135</v>
      </c>
      <c r="D71" s="50" t="s">
        <v>134</v>
      </c>
      <c r="E71" s="15" t="s">
        <v>57</v>
      </c>
      <c r="F71" s="47">
        <v>47.62</v>
      </c>
      <c r="G71" s="16">
        <v>4.97</v>
      </c>
      <c r="H71" s="16">
        <f t="shared" ref="H71" si="34">IF(C71=0,"",ROUND(G71+G71*$I$6,2))</f>
        <v>6.13</v>
      </c>
      <c r="I71" s="16">
        <f t="shared" ref="I71" si="35">IF(C71=0,"",ROUND(F71*H71,2))</f>
        <v>291.91000000000003</v>
      </c>
    </row>
    <row r="72" spans="1:9" ht="36">
      <c r="A72" s="13" t="s">
        <v>187</v>
      </c>
      <c r="B72" s="37" t="s">
        <v>13</v>
      </c>
      <c r="C72" s="13" t="s">
        <v>29</v>
      </c>
      <c r="D72" s="50" t="s">
        <v>30</v>
      </c>
      <c r="E72" s="15" t="s">
        <v>57</v>
      </c>
      <c r="F72" s="47">
        <v>50.78</v>
      </c>
      <c r="G72" s="16">
        <v>39.369999999999997</v>
      </c>
      <c r="H72" s="16">
        <f t="shared" ref="H72:H77" si="36">IF(C72=0,"",ROUND(G72+G72*$I$6,2))</f>
        <v>48.6</v>
      </c>
      <c r="I72" s="16">
        <f t="shared" ref="I72:I77" si="37">IF(C72=0,"",ROUND(F72*H72,2))</f>
        <v>2467.91</v>
      </c>
    </row>
    <row r="73" spans="1:9" ht="18">
      <c r="A73" s="13" t="s">
        <v>188</v>
      </c>
      <c r="B73" s="37" t="s">
        <v>13</v>
      </c>
      <c r="C73" s="13" t="s">
        <v>21</v>
      </c>
      <c r="D73" s="50" t="s">
        <v>22</v>
      </c>
      <c r="E73" s="15" t="s">
        <v>57</v>
      </c>
      <c r="F73" s="47">
        <v>20.62</v>
      </c>
      <c r="G73" s="16">
        <v>4.7</v>
      </c>
      <c r="H73" s="16">
        <f t="shared" si="36"/>
        <v>5.8</v>
      </c>
      <c r="I73" s="16">
        <f t="shared" si="37"/>
        <v>119.6</v>
      </c>
    </row>
    <row r="74" spans="1:9" ht="36">
      <c r="A74" s="13" t="s">
        <v>189</v>
      </c>
      <c r="B74" s="37" t="s">
        <v>13</v>
      </c>
      <c r="C74" s="13" t="s">
        <v>65</v>
      </c>
      <c r="D74" s="50" t="s">
        <v>66</v>
      </c>
      <c r="E74" s="15" t="s">
        <v>57</v>
      </c>
      <c r="F74" s="47">
        <v>22.86</v>
      </c>
      <c r="G74" s="16">
        <v>22.26</v>
      </c>
      <c r="H74" s="16">
        <f t="shared" si="36"/>
        <v>27.48</v>
      </c>
      <c r="I74" s="16">
        <f t="shared" si="37"/>
        <v>628.19000000000005</v>
      </c>
    </row>
    <row r="75" spans="1:9" ht="54">
      <c r="A75" s="13" t="s">
        <v>190</v>
      </c>
      <c r="B75" s="37" t="s">
        <v>47</v>
      </c>
      <c r="C75" s="13">
        <v>91304</v>
      </c>
      <c r="D75" s="50" t="s">
        <v>63</v>
      </c>
      <c r="E75" s="15" t="s">
        <v>60</v>
      </c>
      <c r="F75" s="47">
        <v>2</v>
      </c>
      <c r="G75" s="16">
        <v>105.13</v>
      </c>
      <c r="H75" s="16">
        <f t="shared" si="36"/>
        <v>129.77000000000001</v>
      </c>
      <c r="I75" s="16">
        <f t="shared" si="37"/>
        <v>259.54000000000002</v>
      </c>
    </row>
    <row r="76" spans="1:9" ht="36">
      <c r="A76" s="13" t="s">
        <v>191</v>
      </c>
      <c r="B76" s="37" t="s">
        <v>47</v>
      </c>
      <c r="C76" s="13">
        <v>99861</v>
      </c>
      <c r="D76" s="50" t="s">
        <v>195</v>
      </c>
      <c r="E76" s="15" t="s">
        <v>57</v>
      </c>
      <c r="F76" s="47">
        <v>3</v>
      </c>
      <c r="G76" s="16">
        <v>590.12</v>
      </c>
      <c r="H76" s="16">
        <f t="shared" si="36"/>
        <v>728.44</v>
      </c>
      <c r="I76" s="16">
        <f t="shared" si="37"/>
        <v>2185.3200000000002</v>
      </c>
    </row>
    <row r="77" spans="1:9" ht="72">
      <c r="A77" s="13" t="s">
        <v>192</v>
      </c>
      <c r="B77" s="37" t="s">
        <v>47</v>
      </c>
      <c r="C77" s="13">
        <v>94570</v>
      </c>
      <c r="D77" s="50" t="s">
        <v>196</v>
      </c>
      <c r="E77" s="15" t="s">
        <v>57</v>
      </c>
      <c r="F77" s="47">
        <v>1.5</v>
      </c>
      <c r="G77" s="16">
        <v>364.09</v>
      </c>
      <c r="H77" s="16">
        <f t="shared" si="36"/>
        <v>449.43</v>
      </c>
      <c r="I77" s="16">
        <f t="shared" si="37"/>
        <v>674.15</v>
      </c>
    </row>
    <row r="78" spans="1:9" ht="72">
      <c r="A78" s="13" t="s">
        <v>262</v>
      </c>
      <c r="B78" s="37" t="s">
        <v>13</v>
      </c>
      <c r="C78" s="13" t="s">
        <v>261</v>
      </c>
      <c r="D78" s="50" t="s">
        <v>260</v>
      </c>
      <c r="E78" s="15" t="s">
        <v>60</v>
      </c>
      <c r="F78" s="47">
        <v>1</v>
      </c>
      <c r="G78" s="16">
        <v>973.32</v>
      </c>
      <c r="H78" s="16">
        <f t="shared" ref="H78" si="38">IF(C78=0,"",ROUND(G78+G78*$I$6,2))</f>
        <v>1201.47</v>
      </c>
      <c r="I78" s="16">
        <f t="shared" ref="I78" si="39">IF(C78=0,"",ROUND(F78*H78,2))</f>
        <v>1201.47</v>
      </c>
    </row>
    <row r="79" spans="1:9" ht="36">
      <c r="A79" s="13" t="s">
        <v>193</v>
      </c>
      <c r="B79" s="37" t="s">
        <v>47</v>
      </c>
      <c r="C79" s="13">
        <v>100659</v>
      </c>
      <c r="D79" s="14" t="s">
        <v>263</v>
      </c>
      <c r="E79" s="15" t="s">
        <v>58</v>
      </c>
      <c r="F79" s="47">
        <v>6.6</v>
      </c>
      <c r="G79" s="16">
        <v>11.77</v>
      </c>
      <c r="H79" s="16">
        <f t="shared" ref="H79" si="40">IF(C79=0,"",ROUND(G79+G79*$I$6,2))</f>
        <v>14.53</v>
      </c>
      <c r="I79" s="16">
        <f t="shared" ref="I79" si="41">IF(C79=0,"",ROUND(F79*H79,2))</f>
        <v>95.9</v>
      </c>
    </row>
    <row r="80" spans="1:9" ht="36">
      <c r="A80" s="13" t="s">
        <v>194</v>
      </c>
      <c r="B80" s="37" t="s">
        <v>13</v>
      </c>
      <c r="C80" s="13" t="s">
        <v>264</v>
      </c>
      <c r="D80" s="14" t="s">
        <v>265</v>
      </c>
      <c r="E80" s="15" t="s">
        <v>57</v>
      </c>
      <c r="F80" s="47">
        <v>0.18</v>
      </c>
      <c r="G80" s="16">
        <v>467.56</v>
      </c>
      <c r="H80" s="16">
        <f t="shared" ref="H80" si="42">IF(C80=0,"",ROUND(G80+G80*$I$6,2))</f>
        <v>577.16</v>
      </c>
      <c r="I80" s="16">
        <f t="shared" ref="I80" si="43">IF(C80=0,"",ROUND(F80*H80,2))</f>
        <v>103.89</v>
      </c>
    </row>
    <row r="81" spans="1:9" ht="36">
      <c r="A81" s="13" t="s">
        <v>266</v>
      </c>
      <c r="B81" s="37" t="s">
        <v>47</v>
      </c>
      <c r="C81" s="13">
        <v>94589</v>
      </c>
      <c r="D81" s="14" t="s">
        <v>267</v>
      </c>
      <c r="E81" s="15" t="s">
        <v>58</v>
      </c>
      <c r="F81" s="47">
        <v>5</v>
      </c>
      <c r="G81" s="16">
        <v>22.29</v>
      </c>
      <c r="H81" s="16">
        <f t="shared" ref="H81" si="44">IF(C81=0,"",ROUND(G81+G81*$I$6,2))</f>
        <v>27.51</v>
      </c>
      <c r="I81" s="16">
        <f t="shared" ref="I81" si="45">IF(C81=0,"",ROUND(F81*H81,2))</f>
        <v>137.55000000000001</v>
      </c>
    </row>
    <row r="82" spans="1:9" ht="36">
      <c r="A82" s="13" t="s">
        <v>312</v>
      </c>
      <c r="B82" s="37" t="s">
        <v>13</v>
      </c>
      <c r="C82" s="13" t="s">
        <v>314</v>
      </c>
      <c r="D82" s="14" t="s">
        <v>313</v>
      </c>
      <c r="E82" s="15" t="s">
        <v>57</v>
      </c>
      <c r="F82" s="47">
        <v>1.4</v>
      </c>
      <c r="G82" s="16">
        <v>390.95</v>
      </c>
      <c r="H82" s="16">
        <f t="shared" ref="H82" si="46">IF(C82=0,"",ROUND(G82+G82*$I$6,2))</f>
        <v>482.59</v>
      </c>
      <c r="I82" s="16">
        <f t="shared" ref="I82" si="47">IF(C82=0,"",ROUND(F82*H82,2))</f>
        <v>675.63</v>
      </c>
    </row>
    <row r="83" spans="1:9" ht="18.75">
      <c r="A83" s="17"/>
      <c r="B83" s="17"/>
      <c r="C83" s="13"/>
      <c r="D83" s="18"/>
      <c r="E83" s="19"/>
      <c r="F83" s="47"/>
      <c r="G83" s="20"/>
      <c r="H83" s="20"/>
      <c r="I83" s="21"/>
    </row>
    <row r="84" spans="1:9" s="12" customFormat="1" ht="18">
      <c r="A84" s="9" t="s">
        <v>104</v>
      </c>
      <c r="B84" s="9"/>
      <c r="C84" s="10"/>
      <c r="D84" s="11" t="s">
        <v>200</v>
      </c>
      <c r="E84" s="1"/>
      <c r="F84" s="46"/>
      <c r="G84" s="84" t="s">
        <v>11</v>
      </c>
      <c r="H84" s="85"/>
      <c r="I84" s="29">
        <f>SUM(I85:I86)</f>
        <v>2731.72</v>
      </c>
    </row>
    <row r="85" spans="1:9" ht="54">
      <c r="A85" s="13" t="s">
        <v>105</v>
      </c>
      <c r="B85" s="13" t="s">
        <v>13</v>
      </c>
      <c r="C85" s="13" t="s">
        <v>202</v>
      </c>
      <c r="D85" s="50" t="s">
        <v>201</v>
      </c>
      <c r="E85" s="15" t="s">
        <v>57</v>
      </c>
      <c r="F85" s="47">
        <v>28.35</v>
      </c>
      <c r="G85" s="16">
        <v>62.07</v>
      </c>
      <c r="H85" s="16">
        <f t="shared" ref="H85" si="48">IF(C85=0,"",ROUND(G85+G85*$I$6,2))</f>
        <v>76.62</v>
      </c>
      <c r="I85" s="16">
        <f t="shared" ref="I85" si="49">IF(C85=0,"",ROUND(F85*H85,2))</f>
        <v>2172.1799999999998</v>
      </c>
    </row>
    <row r="86" spans="1:9" ht="36">
      <c r="A86" s="13" t="s">
        <v>106</v>
      </c>
      <c r="B86" s="13" t="s">
        <v>13</v>
      </c>
      <c r="C86" s="13" t="s">
        <v>204</v>
      </c>
      <c r="D86" s="50" t="s">
        <v>203</v>
      </c>
      <c r="E86" s="15" t="s">
        <v>58</v>
      </c>
      <c r="F86" s="47">
        <v>28.16</v>
      </c>
      <c r="G86" s="16">
        <v>16.100000000000001</v>
      </c>
      <c r="H86" s="16">
        <f t="shared" ref="H86" si="50">IF(C86=0,"",ROUND(G86+G86*$I$6,2))</f>
        <v>19.87</v>
      </c>
      <c r="I86" s="16">
        <f t="shared" ref="I86" si="51">IF(C86=0,"",ROUND(F86*H86,2))</f>
        <v>559.54</v>
      </c>
    </row>
    <row r="87" spans="1:9" ht="18.75">
      <c r="A87" s="17"/>
      <c r="B87" s="17"/>
      <c r="C87" s="13"/>
      <c r="D87" s="18"/>
      <c r="E87" s="19"/>
      <c r="F87" s="47"/>
      <c r="G87" s="20"/>
      <c r="H87" s="20"/>
      <c r="I87" s="21"/>
    </row>
    <row r="88" spans="1:9" s="12" customFormat="1" ht="18">
      <c r="A88" s="9" t="s">
        <v>107</v>
      </c>
      <c r="B88" s="9"/>
      <c r="C88" s="10"/>
      <c r="D88" s="11" t="s">
        <v>117</v>
      </c>
      <c r="E88" s="1"/>
      <c r="F88" s="46"/>
      <c r="G88" s="84" t="s">
        <v>11</v>
      </c>
      <c r="H88" s="85"/>
      <c r="I88" s="29">
        <f>SUM(I89:I94)</f>
        <v>12885.179999999998</v>
      </c>
    </row>
    <row r="89" spans="1:9" ht="18">
      <c r="A89" s="13" t="s">
        <v>108</v>
      </c>
      <c r="B89" s="37" t="s">
        <v>13</v>
      </c>
      <c r="C89" s="13" t="s">
        <v>19</v>
      </c>
      <c r="D89" s="14" t="s">
        <v>20</v>
      </c>
      <c r="E89" s="15" t="s">
        <v>57</v>
      </c>
      <c r="F89" s="47">
        <v>329.61</v>
      </c>
      <c r="G89" s="16">
        <v>3.11</v>
      </c>
      <c r="H89" s="16">
        <f t="shared" ref="H89:H94" si="52">IF(C89=0,"",ROUND(G89+G89*$I$6,2))</f>
        <v>3.84</v>
      </c>
      <c r="I89" s="16">
        <f t="shared" ref="I89:I94" si="53">IF(C89=0,"",ROUND(F89*H89,2))</f>
        <v>1265.7</v>
      </c>
    </row>
    <row r="90" spans="1:9" ht="36">
      <c r="A90" s="13" t="s">
        <v>109</v>
      </c>
      <c r="B90" s="37" t="s">
        <v>13</v>
      </c>
      <c r="C90" s="13" t="s">
        <v>25</v>
      </c>
      <c r="D90" s="14" t="s">
        <v>26</v>
      </c>
      <c r="E90" s="15" t="s">
        <v>57</v>
      </c>
      <c r="F90" s="47">
        <v>379.47</v>
      </c>
      <c r="G90" s="16">
        <v>16.77</v>
      </c>
      <c r="H90" s="16">
        <f t="shared" si="52"/>
        <v>20.7</v>
      </c>
      <c r="I90" s="16">
        <f t="shared" si="53"/>
        <v>7855.03</v>
      </c>
    </row>
    <row r="91" spans="1:9" ht="36">
      <c r="A91" s="13" t="s">
        <v>110</v>
      </c>
      <c r="B91" s="37" t="s">
        <v>13</v>
      </c>
      <c r="C91" s="13" t="s">
        <v>31</v>
      </c>
      <c r="D91" s="14" t="s">
        <v>32</v>
      </c>
      <c r="E91" s="15" t="s">
        <v>57</v>
      </c>
      <c r="F91" s="47">
        <v>373.36</v>
      </c>
      <c r="G91" s="16">
        <v>7.04</v>
      </c>
      <c r="H91" s="16">
        <f t="shared" si="52"/>
        <v>8.69</v>
      </c>
      <c r="I91" s="16">
        <f t="shared" si="53"/>
        <v>3244.5</v>
      </c>
    </row>
    <row r="92" spans="1:9" ht="18">
      <c r="A92" s="13" t="s">
        <v>111</v>
      </c>
      <c r="B92" s="37" t="s">
        <v>13</v>
      </c>
      <c r="C92" s="13" t="s">
        <v>23</v>
      </c>
      <c r="D92" s="14" t="s">
        <v>24</v>
      </c>
      <c r="E92" s="15" t="s">
        <v>57</v>
      </c>
      <c r="F92" s="47">
        <v>11.07</v>
      </c>
      <c r="G92" s="16">
        <v>3.52</v>
      </c>
      <c r="H92" s="16">
        <f t="shared" si="52"/>
        <v>4.3499999999999996</v>
      </c>
      <c r="I92" s="16">
        <f t="shared" si="53"/>
        <v>48.15</v>
      </c>
    </row>
    <row r="93" spans="1:9" ht="36">
      <c r="A93" s="13" t="s">
        <v>112</v>
      </c>
      <c r="B93" s="37" t="s">
        <v>13</v>
      </c>
      <c r="C93" s="13" t="s">
        <v>27</v>
      </c>
      <c r="D93" s="14" t="s">
        <v>28</v>
      </c>
      <c r="E93" s="15" t="s">
        <v>57</v>
      </c>
      <c r="F93" s="47">
        <v>14</v>
      </c>
      <c r="G93" s="16">
        <v>18.46</v>
      </c>
      <c r="H93" s="16">
        <f t="shared" si="52"/>
        <v>22.79</v>
      </c>
      <c r="I93" s="16">
        <f t="shared" si="53"/>
        <v>319.06</v>
      </c>
    </row>
    <row r="94" spans="1:9" ht="36">
      <c r="A94" s="13" t="s">
        <v>113</v>
      </c>
      <c r="B94" s="37" t="s">
        <v>13</v>
      </c>
      <c r="C94" s="13" t="s">
        <v>33</v>
      </c>
      <c r="D94" s="14" t="s">
        <v>34</v>
      </c>
      <c r="E94" s="15" t="s">
        <v>57</v>
      </c>
      <c r="F94" s="47">
        <v>14</v>
      </c>
      <c r="G94" s="16">
        <v>8.84</v>
      </c>
      <c r="H94" s="16">
        <f t="shared" si="52"/>
        <v>10.91</v>
      </c>
      <c r="I94" s="16">
        <f t="shared" si="53"/>
        <v>152.74</v>
      </c>
    </row>
    <row r="95" spans="1:9" ht="18.75">
      <c r="A95" s="17"/>
      <c r="B95" s="17"/>
      <c r="C95" s="13"/>
      <c r="D95" s="18"/>
      <c r="E95" s="19"/>
      <c r="F95" s="47"/>
      <c r="G95" s="20"/>
      <c r="H95" s="20"/>
      <c r="I95" s="21"/>
    </row>
    <row r="96" spans="1:9" s="12" customFormat="1" ht="18">
      <c r="A96" s="9" t="s">
        <v>114</v>
      </c>
      <c r="B96" s="9"/>
      <c r="C96" s="10"/>
      <c r="D96" s="11" t="s">
        <v>219</v>
      </c>
      <c r="E96" s="1"/>
      <c r="F96" s="46"/>
      <c r="G96" s="84" t="s">
        <v>11</v>
      </c>
      <c r="H96" s="85"/>
      <c r="I96" s="29">
        <f>SUM(I97:I101)</f>
        <v>13140.77</v>
      </c>
    </row>
    <row r="97" spans="1:9" ht="54">
      <c r="A97" s="17" t="s">
        <v>115</v>
      </c>
      <c r="B97" s="37" t="s">
        <v>13</v>
      </c>
      <c r="C97" s="13" t="s">
        <v>207</v>
      </c>
      <c r="D97" s="52" t="s">
        <v>206</v>
      </c>
      <c r="E97" s="15" t="s">
        <v>183</v>
      </c>
      <c r="F97" s="47">
        <v>383.2</v>
      </c>
      <c r="G97" s="53">
        <v>25.08</v>
      </c>
      <c r="H97" s="16">
        <f t="shared" ref="H97" si="54">IF(C97=0,"",ROUND(G97+G97*$I$6,2))</f>
        <v>30.96</v>
      </c>
      <c r="I97" s="16">
        <f t="shared" ref="I97" si="55">IF(C97=0,"",ROUND(F97*H97,2))</f>
        <v>11863.87</v>
      </c>
    </row>
    <row r="98" spans="1:9" ht="54">
      <c r="A98" s="17" t="s">
        <v>208</v>
      </c>
      <c r="B98" s="37" t="s">
        <v>13</v>
      </c>
      <c r="C98" s="13" t="s">
        <v>198</v>
      </c>
      <c r="D98" s="50" t="s">
        <v>197</v>
      </c>
      <c r="E98" s="15" t="s">
        <v>60</v>
      </c>
      <c r="F98" s="47">
        <v>6</v>
      </c>
      <c r="G98" s="16">
        <v>23.6</v>
      </c>
      <c r="H98" s="16">
        <f t="shared" ref="H98:H99" si="56">IF(C98=0,"",ROUND(G98+G98*$I$6,2))</f>
        <v>29.13</v>
      </c>
      <c r="I98" s="16">
        <f t="shared" ref="I98:I99" si="57">IF(C98=0,"",ROUND(F98*H98,2))</f>
        <v>174.78</v>
      </c>
    </row>
    <row r="99" spans="1:9" ht="36">
      <c r="A99" s="17" t="s">
        <v>209</v>
      </c>
      <c r="B99" s="37" t="s">
        <v>13</v>
      </c>
      <c r="C99" s="13" t="s">
        <v>199</v>
      </c>
      <c r="D99" s="14" t="s">
        <v>205</v>
      </c>
      <c r="E99" s="15" t="s">
        <v>60</v>
      </c>
      <c r="F99" s="47">
        <v>1</v>
      </c>
      <c r="G99" s="16">
        <v>9.9499999999999993</v>
      </c>
      <c r="H99" s="16">
        <f t="shared" si="56"/>
        <v>12.28</v>
      </c>
      <c r="I99" s="16">
        <f t="shared" si="57"/>
        <v>12.28</v>
      </c>
    </row>
    <row r="100" spans="1:9" ht="54">
      <c r="A100" s="17" t="s">
        <v>212</v>
      </c>
      <c r="B100" s="37" t="s">
        <v>13</v>
      </c>
      <c r="C100" s="13" t="s">
        <v>215</v>
      </c>
      <c r="D100" s="54" t="s">
        <v>210</v>
      </c>
      <c r="E100" s="15" t="s">
        <v>59</v>
      </c>
      <c r="F100" s="47">
        <v>1.28</v>
      </c>
      <c r="G100" s="16">
        <v>6.25</v>
      </c>
      <c r="H100" s="16">
        <f t="shared" ref="H100" si="58">IF(C100=0,"",ROUND(G100+G100*$I$6,2))</f>
        <v>7.72</v>
      </c>
      <c r="I100" s="16">
        <f t="shared" ref="I100" si="59">IF(C100=0,"",ROUND(F100*H100,2))</f>
        <v>9.8800000000000008</v>
      </c>
    </row>
    <row r="101" spans="1:9" ht="45" customHeight="1">
      <c r="A101" s="17" t="s">
        <v>213</v>
      </c>
      <c r="B101" s="37" t="s">
        <v>13</v>
      </c>
      <c r="C101" s="13" t="s">
        <v>211</v>
      </c>
      <c r="D101" s="55" t="s">
        <v>214</v>
      </c>
      <c r="E101" s="15" t="s">
        <v>59</v>
      </c>
      <c r="F101" s="47">
        <v>1.28</v>
      </c>
      <c r="G101" s="16">
        <v>683.51</v>
      </c>
      <c r="H101" s="16">
        <f t="shared" ref="H101" si="60">IF(C101=0,"",ROUND(G101+G101*$I$6,2))</f>
        <v>843.72</v>
      </c>
      <c r="I101" s="16">
        <f t="shared" ref="I101" si="61">IF(C101=0,"",ROUND(F101*H101,2))</f>
        <v>1079.96</v>
      </c>
    </row>
    <row r="102" spans="1:9" ht="18.75">
      <c r="A102" s="17"/>
      <c r="B102" s="17"/>
      <c r="C102" s="13"/>
      <c r="D102" s="18"/>
      <c r="E102" s="19"/>
      <c r="F102" s="47"/>
      <c r="G102" s="20"/>
      <c r="H102" s="20"/>
      <c r="I102" s="21"/>
    </row>
    <row r="103" spans="1:9" ht="18.75">
      <c r="A103" s="17"/>
      <c r="B103" s="37"/>
      <c r="C103" s="13"/>
      <c r="D103" s="54"/>
      <c r="E103" s="15"/>
      <c r="F103" s="47"/>
      <c r="G103" s="16"/>
      <c r="H103" s="16"/>
      <c r="I103" s="16"/>
    </row>
    <row r="104" spans="1:9" ht="23.25">
      <c r="A104" s="22"/>
      <c r="B104" s="22"/>
      <c r="C104" s="23"/>
      <c r="D104" s="24" t="s">
        <v>12</v>
      </c>
      <c r="E104" s="25"/>
      <c r="F104" s="48"/>
      <c r="G104" s="26"/>
      <c r="H104" s="26"/>
      <c r="I104" s="26">
        <f>I9+I12+I28+I35+I55+I60+I70+I84+I88 + I96</f>
        <v>86328.58</v>
      </c>
    </row>
    <row r="107" spans="1:9" ht="18">
      <c r="D107" s="38"/>
    </row>
    <row r="108" spans="1:9" ht="18">
      <c r="D108" s="39" t="s">
        <v>136</v>
      </c>
      <c r="G108" s="27"/>
    </row>
    <row r="109" spans="1:9" ht="18">
      <c r="D109" s="39" t="s">
        <v>70</v>
      </c>
    </row>
    <row r="110" spans="1:9" ht="18">
      <c r="D110" s="39" t="s">
        <v>121</v>
      </c>
    </row>
    <row r="112" spans="1:9">
      <c r="G112" s="27"/>
    </row>
  </sheetData>
  <mergeCells count="22">
    <mergeCell ref="G88:H88"/>
    <mergeCell ref="G96:H96"/>
    <mergeCell ref="A1:I1"/>
    <mergeCell ref="A2:F2"/>
    <mergeCell ref="G2:I2"/>
    <mergeCell ref="A4:E4"/>
    <mergeCell ref="F4:I4"/>
    <mergeCell ref="I6:I7"/>
    <mergeCell ref="A7:E7"/>
    <mergeCell ref="G9:H9"/>
    <mergeCell ref="G12:H12"/>
    <mergeCell ref="G28:H28"/>
    <mergeCell ref="G35:H35"/>
    <mergeCell ref="G55:H55"/>
    <mergeCell ref="G60:H60"/>
    <mergeCell ref="G70:H70"/>
    <mergeCell ref="G84:H84"/>
    <mergeCell ref="A5:E5"/>
    <mergeCell ref="F5:F7"/>
    <mergeCell ref="G5:G7"/>
    <mergeCell ref="A6:E6"/>
    <mergeCell ref="H6:H7"/>
  </mergeCells>
  <phoneticPr fontId="18" type="noConversion"/>
  <dataValidations count="1">
    <dataValidation type="list" allowBlank="1" showInputMessage="1" showErrorMessage="1" sqref="B89:B94 B10 B13:B26 B103 B36:B53 B56:B58 B85:B86 B29:B33 B97:B101 B61:B68 B71:B82">
      <formula1>$P$2:$P$5</formula1>
    </dataValidation>
  </dataValidations>
  <pageMargins left="0.51181102362204722" right="0.51181102362204722" top="0.78740157480314965" bottom="0.78740157480314965" header="0.31496062992125984" footer="0.31496062992125984"/>
  <pageSetup paperSize="9" scale="54" orientation="landscape" r:id="rId1"/>
  <headerFooter>
    <oddFooter>Página &amp;P de &amp;N</oddFooter>
  </headerFooter>
  <legacyDrawing r:id="rId2"/>
  <oleObjects>
    <oleObject shapeId="5121" r:id="rId3"/>
  </oleObjects>
</worksheet>
</file>

<file path=xl/worksheets/sheet2.xml><?xml version="1.0" encoding="utf-8"?>
<worksheet xmlns="http://schemas.openxmlformats.org/spreadsheetml/2006/main" xmlns:r="http://schemas.openxmlformats.org/officeDocument/2006/relationships">
  <sheetPr>
    <pageSetUpPr fitToPage="1"/>
  </sheetPr>
  <dimension ref="A2:L42"/>
  <sheetViews>
    <sheetView showGridLines="0" view="pageBreakPreview" topLeftCell="A8" zoomScaleNormal="100" zoomScaleSheetLayoutView="100" workbookViewId="0">
      <selection activeCell="I8" sqref="I8"/>
    </sheetView>
  </sheetViews>
  <sheetFormatPr defaultRowHeight="15"/>
  <cols>
    <col min="1" max="1" width="13.42578125" style="44" bestFit="1" customWidth="1"/>
    <col min="2" max="2" width="17" style="44" customWidth="1"/>
    <col min="3" max="3" width="68" style="44" customWidth="1"/>
    <col min="4" max="4" width="9.5703125" style="44" customWidth="1"/>
    <col min="5" max="5" width="9.7109375" style="44" customWidth="1"/>
    <col min="6" max="6" width="11.140625" style="44" customWidth="1"/>
    <col min="7" max="7" width="12.85546875" style="44" bestFit="1" customWidth="1"/>
    <col min="8" max="16384" width="9.140625" style="44"/>
  </cols>
  <sheetData>
    <row r="2" spans="1:12" ht="31.5">
      <c r="A2" s="103" t="s">
        <v>51</v>
      </c>
      <c r="B2" s="103"/>
      <c r="C2" s="103"/>
      <c r="D2" s="103"/>
      <c r="E2" s="103"/>
      <c r="F2" s="103"/>
      <c r="G2" s="103"/>
    </row>
    <row r="3" spans="1:12" ht="31.5">
      <c r="A3" s="30"/>
      <c r="B3" s="30"/>
      <c r="C3" s="31"/>
      <c r="D3" s="30"/>
      <c r="E3" s="30"/>
      <c r="F3" s="30"/>
      <c r="L3" s="44" t="s">
        <v>13</v>
      </c>
    </row>
    <row r="4" spans="1:12" s="32" customFormat="1">
      <c r="A4" s="104" t="s">
        <v>216</v>
      </c>
      <c r="B4" s="104"/>
      <c r="C4" s="104"/>
      <c r="D4" s="104"/>
      <c r="E4" s="104"/>
      <c r="F4" s="104"/>
      <c r="G4" s="104"/>
      <c r="L4" s="44" t="s">
        <v>47</v>
      </c>
    </row>
    <row r="5" spans="1:12" s="32" customFormat="1">
      <c r="A5" s="105" t="s">
        <v>217</v>
      </c>
      <c r="B5" s="105"/>
      <c r="C5" s="105"/>
      <c r="D5" s="105"/>
      <c r="E5" s="105"/>
      <c r="F5" s="105"/>
      <c r="G5" s="105"/>
      <c r="L5" s="44" t="s">
        <v>48</v>
      </c>
    </row>
    <row r="7" spans="1:12">
      <c r="A7" s="33" t="s">
        <v>44</v>
      </c>
      <c r="B7" s="33" t="s">
        <v>0</v>
      </c>
      <c r="C7" s="33" t="s">
        <v>45</v>
      </c>
      <c r="D7" s="33" t="s">
        <v>1</v>
      </c>
      <c r="E7" s="33" t="s">
        <v>52</v>
      </c>
      <c r="F7" s="33" t="s">
        <v>53</v>
      </c>
      <c r="G7" s="33" t="s">
        <v>56</v>
      </c>
    </row>
    <row r="8" spans="1:12" ht="75">
      <c r="A8" s="34" t="s">
        <v>54</v>
      </c>
      <c r="B8" s="34" t="s">
        <v>55</v>
      </c>
      <c r="C8" s="35" t="s">
        <v>232</v>
      </c>
      <c r="D8" s="34" t="s">
        <v>2</v>
      </c>
      <c r="E8" s="36">
        <v>1</v>
      </c>
      <c r="F8" s="34"/>
      <c r="G8" s="41">
        <f>SUM(G9:G17)</f>
        <v>367.24</v>
      </c>
    </row>
    <row r="9" spans="1:12">
      <c r="A9" s="56" t="s">
        <v>13</v>
      </c>
      <c r="B9" s="56" t="s">
        <v>269</v>
      </c>
      <c r="C9" s="57" t="s">
        <v>270</v>
      </c>
      <c r="D9" s="58" t="s">
        <v>268</v>
      </c>
      <c r="E9" s="59">
        <v>0.05</v>
      </c>
      <c r="F9" s="59">
        <v>22.9</v>
      </c>
      <c r="G9" s="60">
        <f t="shared" ref="G9:G17" si="0">ROUND(E9*F9,2)</f>
        <v>1.1499999999999999</v>
      </c>
    </row>
    <row r="10" spans="1:12" ht="30">
      <c r="A10" s="56" t="s">
        <v>13</v>
      </c>
      <c r="B10" s="56" t="s">
        <v>271</v>
      </c>
      <c r="C10" s="57" t="s">
        <v>272</v>
      </c>
      <c r="D10" s="58" t="s">
        <v>58</v>
      </c>
      <c r="E10" s="59">
        <v>0.84</v>
      </c>
      <c r="F10" s="59">
        <v>0.1502</v>
      </c>
      <c r="G10" s="60">
        <f t="shared" si="0"/>
        <v>0.13</v>
      </c>
    </row>
    <row r="11" spans="1:12" ht="45.75" customHeight="1">
      <c r="A11" s="56" t="s">
        <v>13</v>
      </c>
      <c r="B11" s="56" t="s">
        <v>274</v>
      </c>
      <c r="C11" s="66" t="s">
        <v>273</v>
      </c>
      <c r="D11" s="58" t="s">
        <v>60</v>
      </c>
      <c r="E11" s="59">
        <v>1</v>
      </c>
      <c r="F11" s="59">
        <v>213.71250000000001</v>
      </c>
      <c r="G11" s="60">
        <f t="shared" si="0"/>
        <v>213.71</v>
      </c>
    </row>
    <row r="12" spans="1:12" ht="30">
      <c r="A12" s="56" t="s">
        <v>13</v>
      </c>
      <c r="B12" s="56" t="s">
        <v>275</v>
      </c>
      <c r="C12" s="66" t="s">
        <v>276</v>
      </c>
      <c r="D12" s="58" t="s">
        <v>60</v>
      </c>
      <c r="E12" s="59">
        <v>1</v>
      </c>
      <c r="F12" s="59">
        <v>29.92</v>
      </c>
      <c r="G12" s="60">
        <f t="shared" si="0"/>
        <v>29.92</v>
      </c>
    </row>
    <row r="13" spans="1:12" ht="30">
      <c r="A13" s="56" t="s">
        <v>13</v>
      </c>
      <c r="B13" s="56" t="s">
        <v>278</v>
      </c>
      <c r="C13" s="66" t="s">
        <v>277</v>
      </c>
      <c r="D13" s="58" t="s">
        <v>60</v>
      </c>
      <c r="E13" s="59">
        <v>2</v>
      </c>
      <c r="F13" s="59">
        <v>4.8</v>
      </c>
      <c r="G13" s="60">
        <f t="shared" si="0"/>
        <v>9.6</v>
      </c>
    </row>
    <row r="14" spans="1:12" ht="30">
      <c r="A14" s="56" t="s">
        <v>13</v>
      </c>
      <c r="B14" s="56" t="s">
        <v>280</v>
      </c>
      <c r="C14" s="66" t="s">
        <v>279</v>
      </c>
      <c r="D14" s="58" t="s">
        <v>268</v>
      </c>
      <c r="E14" s="59">
        <v>5.2658299999999998E-2</v>
      </c>
      <c r="F14" s="59">
        <v>3.4369000000000001</v>
      </c>
      <c r="G14" s="60">
        <f t="shared" si="0"/>
        <v>0.18</v>
      </c>
    </row>
    <row r="15" spans="1:12" ht="30">
      <c r="A15" s="56" t="s">
        <v>13</v>
      </c>
      <c r="B15" s="56" t="s">
        <v>282</v>
      </c>
      <c r="C15" s="66" t="s">
        <v>281</v>
      </c>
      <c r="D15" s="58" t="s">
        <v>62</v>
      </c>
      <c r="E15" s="59">
        <v>1.4280504999999999</v>
      </c>
      <c r="F15" s="59">
        <v>22</v>
      </c>
      <c r="G15" s="60">
        <f t="shared" si="0"/>
        <v>31.42</v>
      </c>
    </row>
    <row r="16" spans="1:12">
      <c r="A16" s="56" t="s">
        <v>13</v>
      </c>
      <c r="B16" s="56" t="s">
        <v>284</v>
      </c>
      <c r="C16" s="66" t="s">
        <v>283</v>
      </c>
      <c r="D16" s="58" t="s">
        <v>62</v>
      </c>
      <c r="E16" s="59">
        <v>3.86161E-2</v>
      </c>
      <c r="F16" s="59">
        <v>20.420000000000002</v>
      </c>
      <c r="G16" s="60">
        <f t="shared" si="0"/>
        <v>0.79</v>
      </c>
    </row>
    <row r="17" spans="1:7">
      <c r="A17" s="56" t="s">
        <v>13</v>
      </c>
      <c r="B17" s="56" t="s">
        <v>286</v>
      </c>
      <c r="C17" s="66" t="s">
        <v>285</v>
      </c>
      <c r="D17" s="58" t="s">
        <v>62</v>
      </c>
      <c r="E17" s="59">
        <v>2.9333333000000001</v>
      </c>
      <c r="F17" s="59">
        <v>27.39</v>
      </c>
      <c r="G17" s="60">
        <f t="shared" si="0"/>
        <v>80.34</v>
      </c>
    </row>
    <row r="18" spans="1:7" s="30" customFormat="1">
      <c r="B18" s="67"/>
      <c r="C18" s="68"/>
      <c r="D18" s="62"/>
      <c r="E18" s="69"/>
      <c r="F18" s="69"/>
      <c r="G18" s="70"/>
    </row>
    <row r="19" spans="1:7" s="30" customFormat="1">
      <c r="B19" s="67"/>
      <c r="C19" s="68"/>
      <c r="D19" s="62"/>
      <c r="E19" s="69"/>
      <c r="F19" s="69"/>
      <c r="G19" s="70"/>
    </row>
    <row r="20" spans="1:7" s="30" customFormat="1">
      <c r="B20" s="67"/>
      <c r="C20" s="68"/>
      <c r="D20" s="62"/>
      <c r="E20" s="69"/>
      <c r="F20" s="69"/>
      <c r="G20" s="70"/>
    </row>
    <row r="21" spans="1:7" ht="60">
      <c r="A21" s="34" t="s">
        <v>54</v>
      </c>
      <c r="B21" s="34" t="s">
        <v>119</v>
      </c>
      <c r="C21" s="35" t="s">
        <v>233</v>
      </c>
      <c r="D21" s="34" t="s">
        <v>2</v>
      </c>
      <c r="E21" s="36">
        <v>1</v>
      </c>
      <c r="F21" s="34"/>
      <c r="G21" s="41">
        <f>SUM(G22:G27)</f>
        <v>114.46000000000001</v>
      </c>
    </row>
    <row r="22" spans="1:7" ht="30">
      <c r="A22" s="56" t="s">
        <v>13</v>
      </c>
      <c r="B22" s="56" t="s">
        <v>288</v>
      </c>
      <c r="C22" s="57" t="s">
        <v>287</v>
      </c>
      <c r="D22" s="58" t="s">
        <v>60</v>
      </c>
      <c r="E22" s="59">
        <v>1</v>
      </c>
      <c r="F22" s="59">
        <v>7.03</v>
      </c>
      <c r="G22" s="60">
        <f t="shared" ref="G22:G25" si="1">ROUND(E22*F22,2)</f>
        <v>7.03</v>
      </c>
    </row>
    <row r="23" spans="1:7" ht="30">
      <c r="A23" s="56" t="s">
        <v>13</v>
      </c>
      <c r="B23" s="56" t="s">
        <v>280</v>
      </c>
      <c r="C23" s="57" t="s">
        <v>279</v>
      </c>
      <c r="D23" s="58" t="s">
        <v>268</v>
      </c>
      <c r="E23" s="59">
        <v>0.13876720000000001</v>
      </c>
      <c r="F23" s="59">
        <v>3.4369000000000001</v>
      </c>
      <c r="G23" s="60">
        <f t="shared" si="1"/>
        <v>0.48</v>
      </c>
    </row>
    <row r="24" spans="1:7" ht="30">
      <c r="A24" s="56" t="s">
        <v>13</v>
      </c>
      <c r="B24" s="56" t="s">
        <v>290</v>
      </c>
      <c r="C24" s="57" t="s">
        <v>289</v>
      </c>
      <c r="D24" s="58" t="s">
        <v>60</v>
      </c>
      <c r="E24" s="59">
        <v>2</v>
      </c>
      <c r="F24" s="59">
        <v>1.5651999999999999</v>
      </c>
      <c r="G24" s="60">
        <f t="shared" si="1"/>
        <v>3.13</v>
      </c>
    </row>
    <row r="25" spans="1:7" ht="30">
      <c r="A25" s="56" t="s">
        <v>13</v>
      </c>
      <c r="B25" s="56" t="s">
        <v>282</v>
      </c>
      <c r="C25" s="57" t="s">
        <v>281</v>
      </c>
      <c r="D25" s="58" t="s">
        <v>62</v>
      </c>
      <c r="E25" s="59">
        <v>1.2222222</v>
      </c>
      <c r="F25" s="59">
        <v>22</v>
      </c>
      <c r="G25" s="60">
        <f t="shared" si="1"/>
        <v>26.89</v>
      </c>
    </row>
    <row r="26" spans="1:7">
      <c r="A26" s="56" t="s">
        <v>13</v>
      </c>
      <c r="B26" s="56" t="s">
        <v>284</v>
      </c>
      <c r="C26" s="57" t="s">
        <v>283</v>
      </c>
      <c r="D26" s="58" t="s">
        <v>62</v>
      </c>
      <c r="E26" s="59">
        <v>0.48888880000000001</v>
      </c>
      <c r="F26" s="59">
        <v>20.420000000000002</v>
      </c>
      <c r="G26" s="60">
        <f t="shared" ref="G26:G27" si="2">ROUND(E26*F26,2)</f>
        <v>9.98</v>
      </c>
    </row>
    <row r="27" spans="1:7">
      <c r="A27" s="56" t="s">
        <v>13</v>
      </c>
      <c r="B27" s="56" t="s">
        <v>286</v>
      </c>
      <c r="C27" s="57" t="s">
        <v>285</v>
      </c>
      <c r="D27" s="58" t="s">
        <v>62</v>
      </c>
      <c r="E27" s="59">
        <v>2.4444444000000001</v>
      </c>
      <c r="F27" s="59">
        <v>27.39</v>
      </c>
      <c r="G27" s="60">
        <f t="shared" si="2"/>
        <v>66.95</v>
      </c>
    </row>
    <row r="28" spans="1:7">
      <c r="A28" s="61"/>
      <c r="B28" s="61"/>
      <c r="C28" s="65"/>
      <c r="D28" s="62"/>
      <c r="E28" s="63"/>
      <c r="F28" s="63"/>
      <c r="G28" s="64"/>
    </row>
    <row r="29" spans="1:7">
      <c r="A29" s="61"/>
      <c r="B29" s="61"/>
      <c r="C29" s="65"/>
      <c r="D29" s="62"/>
      <c r="E29" s="63"/>
      <c r="F29" s="63"/>
      <c r="G29" s="64"/>
    </row>
    <row r="30" spans="1:7">
      <c r="A30" s="61"/>
      <c r="B30" s="61"/>
      <c r="C30" s="65"/>
      <c r="D30" s="62"/>
      <c r="E30" s="63"/>
      <c r="F30" s="63"/>
      <c r="G30" s="64"/>
    </row>
    <row r="31" spans="1:7" ht="45">
      <c r="A31" s="34" t="s">
        <v>54</v>
      </c>
      <c r="B31" s="34" t="s">
        <v>292</v>
      </c>
      <c r="C31" s="35" t="s">
        <v>293</v>
      </c>
      <c r="D31" s="34" t="s">
        <v>2</v>
      </c>
      <c r="E31" s="36">
        <v>1</v>
      </c>
      <c r="F31" s="34"/>
      <c r="G31" s="41">
        <f>SUM(G32:G36)</f>
        <v>60.05</v>
      </c>
    </row>
    <row r="32" spans="1:7" ht="45">
      <c r="A32" s="56" t="s">
        <v>13</v>
      </c>
      <c r="B32" s="56" t="s">
        <v>297</v>
      </c>
      <c r="C32" s="57" t="s">
        <v>296</v>
      </c>
      <c r="D32" s="58" t="s">
        <v>60</v>
      </c>
      <c r="E32" s="59">
        <v>1.07</v>
      </c>
      <c r="F32" s="59">
        <v>1.42</v>
      </c>
      <c r="G32" s="60">
        <f t="shared" ref="G32:G36" si="3">ROUND(E32*F32,2)</f>
        <v>1.52</v>
      </c>
    </row>
    <row r="33" spans="1:7" ht="30">
      <c r="A33" s="56" t="s">
        <v>13</v>
      </c>
      <c r="B33" s="56" t="s">
        <v>294</v>
      </c>
      <c r="C33" s="57" t="s">
        <v>298</v>
      </c>
      <c r="D33" s="58" t="s">
        <v>60</v>
      </c>
      <c r="E33" s="59">
        <v>1.42</v>
      </c>
      <c r="F33" s="59">
        <v>0.37</v>
      </c>
      <c r="G33" s="60">
        <f t="shared" si="3"/>
        <v>0.53</v>
      </c>
    </row>
    <row r="34" spans="1:7">
      <c r="A34" s="56" t="s">
        <v>48</v>
      </c>
      <c r="B34" s="56" t="s">
        <v>295</v>
      </c>
      <c r="C34" s="57" t="s">
        <v>303</v>
      </c>
      <c r="D34" s="58" t="s">
        <v>57</v>
      </c>
      <c r="E34" s="59">
        <v>1</v>
      </c>
      <c r="F34" s="59">
        <f>AVERAGE(89.17/(2.3*0.86),75.19/(2.42*0.88),119.9/(2.3*0.86))</f>
        <v>47.001591447824389</v>
      </c>
      <c r="G34" s="60">
        <f t="shared" si="3"/>
        <v>47</v>
      </c>
    </row>
    <row r="35" spans="1:7">
      <c r="A35" s="56" t="s">
        <v>13</v>
      </c>
      <c r="B35" s="56" t="s">
        <v>300</v>
      </c>
      <c r="C35" s="57" t="s">
        <v>299</v>
      </c>
      <c r="D35" s="58" t="s">
        <v>62</v>
      </c>
      <c r="E35" s="59">
        <v>0.22</v>
      </c>
      <c r="F35" s="59">
        <v>22.49</v>
      </c>
      <c r="G35" s="60">
        <f t="shared" si="3"/>
        <v>4.95</v>
      </c>
    </row>
    <row r="36" spans="1:7">
      <c r="A36" s="56" t="s">
        <v>13</v>
      </c>
      <c r="B36" s="56" t="s">
        <v>301</v>
      </c>
      <c r="C36" s="57" t="s">
        <v>302</v>
      </c>
      <c r="D36" s="58" t="s">
        <v>62</v>
      </c>
      <c r="E36" s="59">
        <v>0.22</v>
      </c>
      <c r="F36" s="59">
        <v>27.5</v>
      </c>
      <c r="G36" s="60">
        <f t="shared" si="3"/>
        <v>6.05</v>
      </c>
    </row>
    <row r="37" spans="1:7">
      <c r="A37" s="61"/>
      <c r="B37" s="61"/>
      <c r="C37" s="65"/>
      <c r="D37" s="62"/>
      <c r="E37" s="63"/>
      <c r="F37" s="63"/>
      <c r="G37" s="64"/>
    </row>
    <row r="38" spans="1:7">
      <c r="A38" s="61"/>
      <c r="B38" s="61"/>
      <c r="C38" s="65"/>
      <c r="D38" s="62"/>
      <c r="E38" s="63"/>
      <c r="F38" s="63"/>
      <c r="G38" s="64"/>
    </row>
    <row r="39" spans="1:7">
      <c r="C39" s="42"/>
    </row>
    <row r="40" spans="1:7">
      <c r="C40" s="43" t="s">
        <v>120</v>
      </c>
    </row>
    <row r="41" spans="1:7">
      <c r="C41" s="43" t="s">
        <v>70</v>
      </c>
    </row>
    <row r="42" spans="1:7">
      <c r="C42" s="43" t="s">
        <v>121</v>
      </c>
    </row>
  </sheetData>
  <mergeCells count="3">
    <mergeCell ref="A2:G2"/>
    <mergeCell ref="A4:G4"/>
    <mergeCell ref="A5:G5"/>
  </mergeCells>
  <dataValidations disablePrompts="1" count="1">
    <dataValidation type="list" allowBlank="1" showInputMessage="1" showErrorMessage="1" sqref="A9:A20 A22:A30 A32:A38">
      <formula1>$L$3:$L$5</formula1>
    </dataValidation>
  </dataValidations>
  <pageMargins left="0.511811024" right="0.511811024" top="0.78740157499999996" bottom="0.78740157499999996" header="0.31496062000000002" footer="0.31496062000000002"/>
  <pageSetup paperSize="9" scale="4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dimension ref="D4:Z34"/>
  <sheetViews>
    <sheetView workbookViewId="0">
      <selection activeCell="N20" sqref="N20"/>
    </sheetView>
  </sheetViews>
  <sheetFormatPr defaultRowHeight="15"/>
  <sheetData>
    <row r="4" spans="4:26">
      <c r="K4">
        <f>(2.02+0.78+1.64+0.65)*5*5.61/6</f>
        <v>23.795750000000002</v>
      </c>
    </row>
    <row r="5" spans="4:26">
      <c r="M5">
        <f>8.55*3*4.9/6</f>
        <v>20.947500000000002</v>
      </c>
      <c r="S5">
        <f>96.13 + 49.96 + 23.79 + 20.96</f>
        <v>190.84</v>
      </c>
    </row>
    <row r="6" spans="4:26">
      <c r="O6">
        <f>(8.35+15.65+8.35+0.9+0.9)*3.4+(8.35+8.35)*1.3*0.5-(1.1*2.1+1.5*1+1.5*1+1.5*1+1.5*1+1.5*1+1.5*1+0.6*0.3+0.6*0.3+1.5*1+0.8*2.1+0.6*0.3+0.6*0.3)</f>
        <v>111.755</v>
      </c>
    </row>
    <row r="7" spans="4:26">
      <c r="H7">
        <f>(2.02+0.78+1.64)*5*5.61/6</f>
        <v>20.756999999999998</v>
      </c>
    </row>
    <row r="8" spans="4:26">
      <c r="J8">
        <f>(10*3.13+4*9.3)*8.42/6</f>
        <v>96.12833333333333</v>
      </c>
      <c r="Q8">
        <f>4.54 + 6.53 + 2.93</f>
        <v>14</v>
      </c>
    </row>
    <row r="9" spans="4:26">
      <c r="F9">
        <f>20.76 + 7.4</f>
        <v>28.160000000000004</v>
      </c>
      <c r="M9">
        <f>3.13*9.3</f>
        <v>29.109000000000002</v>
      </c>
    </row>
    <row r="10" spans="4:26">
      <c r="U10">
        <f>(0.9+0.9)*3</f>
        <v>5.4</v>
      </c>
      <c r="W10">
        <f>1.15*2.55</f>
        <v>2.9324999999999997</v>
      </c>
    </row>
    <row r="11" spans="4:26">
      <c r="J11">
        <f>55.32 + 54 + 55.06 + 82.57 + 111.76 + 20.76</f>
        <v>379.46999999999997</v>
      </c>
      <c r="S11">
        <f>1.5*1*2*3+1.5*1*2*2</f>
        <v>15</v>
      </c>
      <c r="Z11">
        <f>(1.45*6+0.9*10)*0.395</f>
        <v>6.9915000000000003</v>
      </c>
    </row>
    <row r="12" spans="4:26">
      <c r="D12">
        <f>(2.02+1.59+0.53+0.63)*5*5.61/6</f>
        <v>22.299750000000003</v>
      </c>
      <c r="L12">
        <f>96.13 + 49.96 + 20.76 + 20.96</f>
        <v>187.81</v>
      </c>
      <c r="O12">
        <f>(2.25*2+1.15*2)*3-2.1*0.6-0.6*0.3</f>
        <v>18.959999999999997</v>
      </c>
      <c r="Q12">
        <f>96.13 + 49.96 + 23.79 + 20.96 + 7.48</f>
        <v>198.32</v>
      </c>
    </row>
    <row r="14" spans="4:26">
      <c r="I14">
        <f>(2.02+0.78+1.64+65)*5*5.61/6</f>
        <v>324.63200000000001</v>
      </c>
      <c r="S14">
        <f>(1.45*6+0.9*10)*3.95</f>
        <v>69.915000000000006</v>
      </c>
    </row>
    <row r="15" spans="4:26">
      <c r="J15">
        <f>1.68 + 1.68 + 1.68 + 1.26 + 1.37</f>
        <v>7.67</v>
      </c>
      <c r="M15">
        <f>4.31 + 7.5 + 8.7 + 12.15 + 3.6 + 1.5 + 4.17</f>
        <v>41.93</v>
      </c>
    </row>
    <row r="16" spans="4:26">
      <c r="Q16">
        <f>2.25*3*2+1.15*1.8+2.25*1+0.6*1-0.6*0.3-2.1*0</f>
        <v>18.240000000000002</v>
      </c>
      <c r="U16">
        <f>(2.55*2+1.15*2)*3-(0.6*0.3+2.1*0.6)</f>
        <v>20.759999999999998</v>
      </c>
    </row>
    <row r="17" spans="4:24">
      <c r="G17">
        <f>2.7 + 1.45 + 2</f>
        <v>6.15</v>
      </c>
      <c r="O17">
        <f>1.15*2.55</f>
        <v>2.9324999999999997</v>
      </c>
    </row>
    <row r="18" spans="4:24">
      <c r="D18">
        <f>96.13 + 49.96 + 22.29 + 20.96 + 7.48</f>
        <v>196.82</v>
      </c>
      <c r="L18">
        <f>(0.5*0.4*0.4)*4</f>
        <v>0.32000000000000006</v>
      </c>
    </row>
    <row r="19" spans="4:24">
      <c r="N19">
        <f>16*0.4*0.4*0.5</f>
        <v>1.2800000000000002</v>
      </c>
    </row>
    <row r="20" spans="4:24">
      <c r="J20">
        <f>1.95*3-0.65*2.1-0.6*0.3</f>
        <v>4.3049999999999997</v>
      </c>
      <c r="S20">
        <f>3.25*2*1</f>
        <v>6.5</v>
      </c>
    </row>
    <row r="21" spans="4:24">
      <c r="F21">
        <f>0.65*5*13.8/6</f>
        <v>7.4750000000000005</v>
      </c>
      <c r="O21">
        <f>9.29 + 18.44 + 2.79 + 18.24 + 8.52</f>
        <v>57.28</v>
      </c>
      <c r="X21">
        <f>(0.6+2.1+0.6)*2</f>
        <v>6.6000000000000005</v>
      </c>
    </row>
    <row r="23" spans="4:24">
      <c r="J23">
        <f>(2.26+2.35)*3-0.8*2.1-1.5*1</f>
        <v>10.649999999999999</v>
      </c>
      <c r="M23">
        <f>(0.3+0.3+0.03+0.3)*3</f>
        <v>2.79</v>
      </c>
      <c r="Q23">
        <f>9.29 + 18.44 + 2.79 + 18.42 + 8.52</f>
        <v>57.459999999999994</v>
      </c>
    </row>
    <row r="24" spans="4:24">
      <c r="V24">
        <f>0.9*1.45</f>
        <v>1.3049999999999999</v>
      </c>
    </row>
    <row r="25" spans="4:24">
      <c r="E25">
        <f>2.02 + 1.59  + 0.53 + 0.63</f>
        <v>4.7700000000000005</v>
      </c>
      <c r="G25">
        <f>9.29 + 18.44 + 2.79 + 18.24 + 8.52</f>
        <v>57.28</v>
      </c>
      <c r="N25">
        <f>5.31 + 18.44 + 2.79</f>
        <v>26.54</v>
      </c>
      <c r="T25">
        <f>18.96 + 6.5</f>
        <v>25.46</v>
      </c>
    </row>
    <row r="26" spans="4:24">
      <c r="J26">
        <f>3.96*3-0.8*2.1-1.5*1</f>
        <v>8.6999999999999993</v>
      </c>
      <c r="L26">
        <f>0.6*0.3</f>
        <v>0.18</v>
      </c>
      <c r="P26">
        <f>15 + 15 + 8.2 + 0.36 + 3.72 + 0.36 + 0.36 + 4.62 + 0.36 + 2.8</f>
        <v>50.779999999999994</v>
      </c>
    </row>
    <row r="27" spans="4:24">
      <c r="Q27">
        <f>1.45*3-0.6*0.3+0.6*2.1</f>
        <v>5.43</v>
      </c>
    </row>
    <row r="28" spans="4:24">
      <c r="F28">
        <f>1.15*2+2.55*2</f>
        <v>7.3999999999999995</v>
      </c>
      <c r="K28">
        <f>1.45*0.9*0.1</f>
        <v>0.1305</v>
      </c>
      <c r="W28">
        <f>(0.15*0.15*2.83)*2+(0.15*0.15*1.15)*2</f>
        <v>0.17909999999999998</v>
      </c>
    </row>
    <row r="30" spans="4:24">
      <c r="H30">
        <f>(0.15*0.15*3)*4</f>
        <v>0.27</v>
      </c>
      <c r="L30">
        <f>15 + 15 + 8.2 + 0.36 + 3.72 + 0.36 + 0.36 + 4.62 + 0.36</f>
        <v>47.98</v>
      </c>
      <c r="V30">
        <f>(1.5+1)*2</f>
        <v>5</v>
      </c>
    </row>
    <row r="31" spans="4:24">
      <c r="J31">
        <f>2.25*3+1.15*1.8+2.25*1+0.6*1</f>
        <v>11.67</v>
      </c>
      <c r="M31">
        <f>2.25*3*2+1.15*1.8+2.25*1+0.6*1</f>
        <v>18.420000000000002</v>
      </c>
      <c r="Q31">
        <f>4.31 + 7.5 + 8.7 + 12.15 + 3.6 + 1.5 + 5.43</f>
        <v>43.19</v>
      </c>
      <c r="T31">
        <f>55.32 + 54 + 55.06 + 82.57 + 105.65 + 20.76</f>
        <v>373.36</v>
      </c>
    </row>
    <row r="34" spans="8:16">
      <c r="H34">
        <f>0.96 + 0.32</f>
        <v>1.28</v>
      </c>
      <c r="J34">
        <f>1.45*3*2-0.6*0.3</f>
        <v>8.52</v>
      </c>
      <c r="L34">
        <f>2.78 + 2.78 + 5.56 + 2.24 + 2.78 + 2.24 + 2.24 + 2.24</f>
        <v>22.860000000000007</v>
      </c>
      <c r="P34">
        <f>96.13 + 49.96</f>
        <v>146.09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ORÇAMENTO COMPLETO</vt:lpstr>
      <vt:lpstr>COMPOSIÇÕES</vt:lpstr>
      <vt:lpstr>Planilha1</vt:lpstr>
      <vt:lpstr>'ORÇAMENTO COMPLETO'!Area_de_impressao</vt:lpstr>
      <vt:lpstr>'ORÇAMENTO COMPLETO'!Titulos_de_impressao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Vivêncio Sathler</dc:creator>
  <cp:lastModifiedBy>Licitação 2</cp:lastModifiedBy>
  <cp:lastPrinted>2025-08-13T12:54:01Z</cp:lastPrinted>
  <dcterms:created xsi:type="dcterms:W3CDTF">2017-08-15T18:29:29Z</dcterms:created>
  <dcterms:modified xsi:type="dcterms:W3CDTF">2025-08-13T12:55:12Z</dcterms:modified>
</cp:coreProperties>
</file>