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66925"/>
  <mc:AlternateContent xmlns:mc="http://schemas.openxmlformats.org/markup-compatibility/2006">
    <mc:Choice Requires="x15">
      <x15ac:absPath xmlns:x15ac="http://schemas.microsoft.com/office/spreadsheetml/2010/11/ac" url="C:\Users\MAQ02\Desktop\LEANDRO\REFORMA - ESCOLA ROSEIRAL ]\"/>
    </mc:Choice>
  </mc:AlternateContent>
  <xr:revisionPtr revIDLastSave="0" documentId="13_ncr:1_{E6B68D41-6A58-43DC-9ABE-1BAC33B26D23}" xr6:coauthVersionLast="47" xr6:coauthVersionMax="47" xr10:uidLastSave="{00000000-0000-0000-0000-000000000000}"/>
  <bookViews>
    <workbookView xWindow="-9465" yWindow="0" windowWidth="21600" windowHeight="15600" xr2:uid="{00000000-000D-0000-FFFF-FFFF00000000}"/>
  </bookViews>
  <sheets>
    <sheet name="ORÇAMENTO COMPLETO" sheetId="21" r:id="rId1"/>
    <sheet name="COMPOSIÇÕES" sheetId="24" r:id="rId2"/>
    <sheet name="Planilha1" sheetId="25" r:id="rId3"/>
  </sheets>
  <definedNames>
    <definedName name="_xlnm._FilterDatabase" localSheetId="0" hidden="1">'ORÇAMENTO COMPLETO'!$A$1:$I$10</definedName>
    <definedName name="_xlnm.Print_Area" localSheetId="0">'ORÇAMENTO COMPLETO'!$A$1:$I$74</definedName>
    <definedName name="CONCATENAR" localSheetId="0">CONCATENATE(#REF!," ",#REF!)</definedName>
    <definedName name="CONCATENAR">CONCATENATE(#REF!," ",#REF!)</definedName>
    <definedName name="NCOMPOSICOES">3</definedName>
    <definedName name="NCOTACOES">15</definedName>
    <definedName name="_xlnm.Print_Titles" localSheetId="0">'ORÇAMENTO COMPLETO'!$1:$8</definedName>
  </definedNames>
  <calcPr calcId="191029"/>
  <fileRecoveryPr autoRecover="0"/>
</workbook>
</file>

<file path=xl/calcChain.xml><?xml version="1.0" encoding="utf-8"?>
<calcChain xmlns="http://schemas.openxmlformats.org/spreadsheetml/2006/main">
  <c r="I63" i="21" l="1"/>
  <c r="I55" i="21"/>
  <c r="I46" i="21"/>
  <c r="I41" i="21"/>
  <c r="I38" i="21"/>
  <c r="I27" i="21"/>
  <c r="I22" i="21"/>
  <c r="H14" i="21"/>
  <c r="I14" i="21" s="1"/>
  <c r="H15" i="21"/>
  <c r="H16" i="21"/>
  <c r="H17" i="21"/>
  <c r="H18" i="21"/>
  <c r="H19" i="21"/>
  <c r="I19" i="21" s="1"/>
  <c r="H20" i="21"/>
  <c r="H13" i="21"/>
  <c r="I20" i="21"/>
  <c r="I15" i="21"/>
  <c r="I17" i="21"/>
  <c r="I18" i="21"/>
  <c r="I13" i="21"/>
  <c r="I9" i="21"/>
  <c r="H53" i="21"/>
  <c r="I53" i="21" s="1"/>
  <c r="H36" i="21" l="1"/>
  <c r="I36" i="21" s="1"/>
  <c r="E30" i="25" l="1"/>
  <c r="N19" i="25" l="1"/>
  <c r="P26" i="25"/>
  <c r="Z11" i="25" l="1"/>
  <c r="S14" i="25"/>
  <c r="K28" i="25"/>
  <c r="D18" i="25"/>
  <c r="D12" i="25"/>
  <c r="E25" i="25"/>
  <c r="Q12" i="25"/>
  <c r="F21" i="25"/>
  <c r="S5" i="25"/>
  <c r="K4" i="25"/>
  <c r="I14" i="25"/>
  <c r="L12" i="25"/>
  <c r="M5" i="25"/>
  <c r="H7" i="25"/>
  <c r="F34" i="24"/>
  <c r="G36" i="24" l="1"/>
  <c r="G35" i="24"/>
  <c r="G34" i="24"/>
  <c r="G33" i="24"/>
  <c r="G32" i="24"/>
  <c r="G31" i="24" l="1"/>
  <c r="G17" i="24" l="1"/>
  <c r="G16" i="24"/>
  <c r="G15" i="24"/>
  <c r="G14" i="24"/>
  <c r="G13" i="24"/>
  <c r="F9" i="25"/>
  <c r="F28" i="25"/>
  <c r="O17" i="25"/>
  <c r="H34" i="25"/>
  <c r="L18" i="25"/>
  <c r="W28" i="25"/>
  <c r="H30" i="25"/>
  <c r="V30" i="25"/>
  <c r="L34" i="25"/>
  <c r="L30" i="25"/>
  <c r="L26" i="25"/>
  <c r="X21" i="25"/>
  <c r="G25" i="25"/>
  <c r="W10" i="25"/>
  <c r="V24" i="25"/>
  <c r="U10" i="25"/>
  <c r="J11" i="25"/>
  <c r="O6" i="25"/>
  <c r="Q8" i="25"/>
  <c r="T31" i="25"/>
  <c r="U16" i="25"/>
  <c r="S11" i="25"/>
  <c r="M9" i="25" l="1"/>
  <c r="P34" i="25"/>
  <c r="J8" i="25"/>
  <c r="G17" i="25"/>
  <c r="T25" i="25"/>
  <c r="Q31" i="25"/>
  <c r="Q27" i="25"/>
  <c r="S20" i="25"/>
  <c r="O12" i="25"/>
  <c r="O21" i="25"/>
  <c r="Q16" i="25"/>
  <c r="Q23" i="25"/>
  <c r="J34" i="25"/>
  <c r="M31" i="25"/>
  <c r="J31" i="25"/>
  <c r="N25" i="25"/>
  <c r="M23" i="25"/>
  <c r="M15" i="25"/>
  <c r="J26" i="25"/>
  <c r="J23" i="25"/>
  <c r="J20" i="25"/>
  <c r="J15" i="25" l="1"/>
  <c r="G27" i="24" l="1"/>
  <c r="G26" i="24"/>
  <c r="H65" i="21" l="1"/>
  <c r="I65" i="21" s="1"/>
  <c r="H64" i="21"/>
  <c r="I64" i="21" s="1"/>
  <c r="G12" i="24"/>
  <c r="G11" i="24"/>
  <c r="G10" i="24"/>
  <c r="G9" i="24"/>
  <c r="G8" i="24" s="1"/>
  <c r="H52" i="21"/>
  <c r="I52" i="21" s="1"/>
  <c r="H51" i="21"/>
  <c r="I51" i="21" s="1"/>
  <c r="H50" i="21"/>
  <c r="I50" i="21" s="1"/>
  <c r="H49" i="21"/>
  <c r="I49" i="21" s="1"/>
  <c r="H48" i="21"/>
  <c r="I48" i="21" s="1"/>
  <c r="H35" i="21" l="1"/>
  <c r="I35" i="21" s="1"/>
  <c r="G25" i="24" l="1"/>
  <c r="G24" i="24"/>
  <c r="G23" i="24"/>
  <c r="G22" i="24"/>
  <c r="G21" i="24" l="1"/>
  <c r="H61" i="21"/>
  <c r="I61" i="21" s="1"/>
  <c r="H60" i="21"/>
  <c r="I60" i="21" s="1"/>
  <c r="H59" i="21"/>
  <c r="I59" i="21" s="1"/>
  <c r="H58" i="21"/>
  <c r="I58" i="21" s="1"/>
  <c r="H57" i="21"/>
  <c r="I57" i="21" s="1"/>
  <c r="H56" i="21"/>
  <c r="I56" i="21" s="1"/>
  <c r="H47" i="21"/>
  <c r="I47" i="21" s="1"/>
  <c r="H44" i="21"/>
  <c r="I44" i="21" s="1"/>
  <c r="H43" i="21"/>
  <c r="I43" i="21" s="1"/>
  <c r="H42" i="21"/>
  <c r="I42" i="21" s="1"/>
  <c r="H39" i="21"/>
  <c r="I39" i="21" s="1"/>
  <c r="H34" i="21"/>
  <c r="I34" i="21" s="1"/>
  <c r="H33" i="21"/>
  <c r="I33" i="21" s="1"/>
  <c r="H32" i="21"/>
  <c r="I32" i="21" s="1"/>
  <c r="H31" i="21"/>
  <c r="I31" i="21" s="1"/>
  <c r="H30" i="21"/>
  <c r="I30" i="21" s="1"/>
  <c r="H29" i="21"/>
  <c r="I29" i="21" s="1"/>
  <c r="H28" i="21"/>
  <c r="I28" i="21" s="1"/>
  <c r="H25" i="21"/>
  <c r="I25" i="21" s="1"/>
  <c r="H24" i="21"/>
  <c r="I24" i="21" s="1"/>
  <c r="H23" i="21"/>
  <c r="I23" i="21" s="1"/>
  <c r="H10" i="21"/>
  <c r="I10" i="21" s="1"/>
  <c r="I68" i="21" l="1"/>
</calcChain>
</file>

<file path=xl/sharedStrings.xml><?xml version="1.0" encoding="utf-8"?>
<sst xmlns="http://schemas.openxmlformats.org/spreadsheetml/2006/main" count="364" uniqueCount="222">
  <si>
    <t>CÓDIGO</t>
  </si>
  <si>
    <t>UNIDADE</t>
  </si>
  <si>
    <t>UN</t>
  </si>
  <si>
    <t>1.1</t>
  </si>
  <si>
    <t>FORMA DE EXECUÇÃO</t>
  </si>
  <si>
    <t>(    )</t>
  </si>
  <si>
    <t>DIRETA</t>
  </si>
  <si>
    <t>Indireta</t>
  </si>
  <si>
    <t>UNID</t>
  </si>
  <si>
    <t>QUANTIDADE</t>
  </si>
  <si>
    <t>TOTAL DO SUBITEM</t>
  </si>
  <si>
    <t>TOTAL</t>
  </si>
  <si>
    <t>SETOP</t>
  </si>
  <si>
    <t>(  x  )</t>
  </si>
  <si>
    <t>ED-48421</t>
  </si>
  <si>
    <t>ED-48501</t>
  </si>
  <si>
    <t>ED-48514</t>
  </si>
  <si>
    <t>ED-50505</t>
  </si>
  <si>
    <t>LIXAMENTO MANUAL EM PAREDE PARA REMOÇÃO DE TINTA</t>
  </si>
  <si>
    <t>ED-50507</t>
  </si>
  <si>
    <t>LIXAMENTO MANUAL EM SUPERFÍCIE DE MADEIRA PARA REMOÇÃO DE TINTA</t>
  </si>
  <si>
    <t>ED-50506</t>
  </si>
  <si>
    <t>LIXAMENTO MANUAL EM TETO PARA REMOÇÃO DE TINTA</t>
  </si>
  <si>
    <t>ED-50451</t>
  </si>
  <si>
    <t>PINTURA ACRÍLICA EM PAREDE, DUAS (2) DEMÃOS, EXCLUSIVE SELADOR ACRÍLICO E MASSA ACRÍLICA/CORRIDA (PVA)</t>
  </si>
  <si>
    <t>ED-50452</t>
  </si>
  <si>
    <t>PINTURA ACRÍLICA EM TETO, DUAS (2) DEMÃOS, EXCLUSIVE SELADOR ACRÍLICO E MASSA ACRÍLICA/CORRIDA (PVA)</t>
  </si>
  <si>
    <t>ED-50497</t>
  </si>
  <si>
    <t>ED-50514</t>
  </si>
  <si>
    <t>PREPARAÇÃO PARA EMASSAMENTO OU PINTURA (LÁTEX/ACRÍLICA) EM PAREDE, INCLUSIVE UMA (1) DEMÃO DE SELADOR ACRÍLICO</t>
  </si>
  <si>
    <t>ED-50515</t>
  </si>
  <si>
    <t>PREPARAÇÃO PARA EMASSAMENTO OU PINTURA (LÁTEX/ACRÍLICA) EM TETO, INCLUSIVE UMA (1) DEMÃO DE SELADOR ACRÍLICO</t>
  </si>
  <si>
    <t>ED-50727</t>
  </si>
  <si>
    <t>ED-50761</t>
  </si>
  <si>
    <t>ED-9081</t>
  </si>
  <si>
    <t>REVESTIMENTO COM CERÂMICA APLICADO EM PAREDE, ACABAMENTO ESMALTADO, AMBIENTE INTERNO/EXTERNO, PADRÃO EXTRA, DIMENSÃO DA PEÇA ATÉ 2025 CM2, PEI III, ASSENTAMENTO COM ARGAMASSA INDUSTRIALIZADA, INCLUSIVE REJUNTAMENTO</t>
  </si>
  <si>
    <t>SERVIÇOS PRELIMINARES</t>
  </si>
  <si>
    <t>BDI</t>
  </si>
  <si>
    <t>PREÇO UNIT C/ BDI</t>
  </si>
  <si>
    <t>PREÇO UNIT S/ BDI</t>
  </si>
  <si>
    <t>INSTALAÇÕES ELÉTRICAS</t>
  </si>
  <si>
    <t>FONTE</t>
  </si>
  <si>
    <t>DESCRIÇÃO</t>
  </si>
  <si>
    <r>
      <t xml:space="preserve">ISS DO MUNICÍPIO: </t>
    </r>
    <r>
      <rPr>
        <sz val="12"/>
        <rFont val="Arial"/>
        <family val="2"/>
      </rPr>
      <t>3%</t>
    </r>
  </si>
  <si>
    <t>SINAPI</t>
  </si>
  <si>
    <t>SINAPI-I</t>
  </si>
  <si>
    <t>ITEM</t>
  </si>
  <si>
    <t>DESCRIÇÃO DO ITEM</t>
  </si>
  <si>
    <t>COMPOSIÇÕES</t>
  </si>
  <si>
    <t>COEF.</t>
  </si>
  <si>
    <t>CUSTO UNI.</t>
  </si>
  <si>
    <t>COMPOSIÇÃO</t>
  </si>
  <si>
    <t>COMPOS-001</t>
  </si>
  <si>
    <t>CUSTO TOTAL</t>
  </si>
  <si>
    <t>m2</t>
  </si>
  <si>
    <t>m</t>
  </si>
  <si>
    <t>m3</t>
  </si>
  <si>
    <t>un</t>
  </si>
  <si>
    <t>INSTALAÇÕES HIDROSSANITÁRIAS</t>
  </si>
  <si>
    <t>hora</t>
  </si>
  <si>
    <t>FECHADURA DE EMBUTIR COM CILINDRO, EXTERNA, COMPLETA, ACABAMENTO PADRÃO POPULAR, INCLUSO EXECUÇÃO DE FURO - FORNECIMENTO E INSTALAÇÃO. AF_12/2019</t>
  </si>
  <si>
    <t>ED-28427</t>
  </si>
  <si>
    <t>ED-28438</t>
  </si>
  <si>
    <t>REBOCO COM ARGAMASSA, TRAÇO 1:2:8 (CIMENTO, CAL E AREIA), ESP. 20MM, APLICAÇÃO MANUAL, INCLUSIVE ARGAMASSA COM PREPARO MECANIZADO, EXCLUSIVE CHAPISCO</t>
  </si>
  <si>
    <t>COBERTURA EM TELHA CERÂMICA, TIPO COLONIAL, INCLUSIVE FIXAÇÃO, EXCLUSIVE ENGRADAMENTO E MANTA ISOLANTE/TÉRMICA</t>
  </si>
  <si>
    <r>
      <t xml:space="preserve">CONTRATANTE: </t>
    </r>
    <r>
      <rPr>
        <sz val="12"/>
        <rFont val="Arial"/>
        <family val="2"/>
      </rPr>
      <t>MUNICÍPIO DE MUTUM - MG</t>
    </r>
  </si>
  <si>
    <t>ENGENHEIRO CIVIL</t>
  </si>
  <si>
    <t>2</t>
  </si>
  <si>
    <t>2.1</t>
  </si>
  <si>
    <t>2.2</t>
  </si>
  <si>
    <t>2.3</t>
  </si>
  <si>
    <t>2.4</t>
  </si>
  <si>
    <t>2.5</t>
  </si>
  <si>
    <t>2.6</t>
  </si>
  <si>
    <t>3</t>
  </si>
  <si>
    <t>3.1</t>
  </si>
  <si>
    <t>3.2</t>
  </si>
  <si>
    <t>3.3</t>
  </si>
  <si>
    <t>4</t>
  </si>
  <si>
    <t>4.1</t>
  </si>
  <si>
    <t>4.2</t>
  </si>
  <si>
    <t>4.3</t>
  </si>
  <si>
    <t>4.4</t>
  </si>
  <si>
    <t>4.5</t>
  </si>
  <si>
    <t>4.6</t>
  </si>
  <si>
    <t>4.7</t>
  </si>
  <si>
    <t>5</t>
  </si>
  <si>
    <t>5.1</t>
  </si>
  <si>
    <t>6</t>
  </si>
  <si>
    <t>6.1</t>
  </si>
  <si>
    <t>6.2</t>
  </si>
  <si>
    <t>6.3</t>
  </si>
  <si>
    <t>7</t>
  </si>
  <si>
    <t>7.1</t>
  </si>
  <si>
    <r>
      <t xml:space="preserve">PRAZO DE EXECUÇÃO: </t>
    </r>
    <r>
      <rPr>
        <sz val="12"/>
        <rFont val="Arial"/>
        <family val="2"/>
      </rPr>
      <t>90 DIAS</t>
    </r>
  </si>
  <si>
    <t>REMOÇÕES E DEMOLIÇÕES</t>
  </si>
  <si>
    <t>COBERTURA</t>
  </si>
  <si>
    <t>8</t>
  </si>
  <si>
    <t>8.1</t>
  </si>
  <si>
    <t>8.2</t>
  </si>
  <si>
    <t>9</t>
  </si>
  <si>
    <t>9.1</t>
  </si>
  <si>
    <t>9.2</t>
  </si>
  <si>
    <t>ESQUADRIAS</t>
  </si>
  <si>
    <t>PINTURA PAREDES E TETO</t>
  </si>
  <si>
    <t>PLANILHA ORÇAMENTÁRIA DE CUSTOS</t>
  </si>
  <si>
    <t>COMPOS-002</t>
  </si>
  <si>
    <t>LEANDRO DE SOUZA COSTA</t>
  </si>
  <si>
    <t>CREA-ES 037.338/D</t>
  </si>
  <si>
    <r>
      <t xml:space="preserve">RESPONSÁVEL TÉCNICO: </t>
    </r>
    <r>
      <rPr>
        <sz val="12"/>
        <rFont val="Arial"/>
        <family val="2"/>
      </rPr>
      <t>LEANDRO DE SOUZA COSTA; CREA-ES 037.338/D</t>
    </r>
  </si>
  <si>
    <t>2.8</t>
  </si>
  <si>
    <t>TORNEIRA METÁLICA PARA PIA, ABERTURA 1/4 DE VOLTA, ACABAMENTO CROMADO, COM AREJADOR, APLICAÇÃO DE PAREDE, INCLUSIVE FORNECIMENTO E INSTALAÇÃO</t>
  </si>
  <si>
    <t>ED-50326</t>
  </si>
  <si>
    <t>4.8</t>
  </si>
  <si>
    <t>ED-50232</t>
  </si>
  <si>
    <t>LIXAMENTO MANUAL EM SUPERFÍCIE METÁLICA PARA REMOÇÃO DE TINTA</t>
  </si>
  <si>
    <t>ED-50508</t>
  </si>
  <si>
    <t xml:space="preserve">LEANDRO DE SOUZA COSTA </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</si>
  <si>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</si>
  <si>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ED-48457</t>
  </si>
  <si>
    <t>DEMOLIÇÃO MANUAL DE REBOCO OU EMBOÇO, COM ESPESSURA DE ATÉ 55MM, INCLUSIVE AFASTAMENTO E EMPILHAMENTO, EXCLUSIVE TRANSPORTE E RETIRADA DO MATERIAL DEMOLIDO</t>
  </si>
  <si>
    <t>REMOÇÃO MANUAL DE FOLHA DE PORTA OU JANELA DE MADEIRA OU METÁLICA, COM REAPROVEITAMENTO, INCLUSIVE AFASTAMENTO E EMPILHAMENTO, EXCLUSIVE TRANSPORTE E RETIRADA DO MATERIAL REMOVIDO NÃO REAPROVEITÁVEL</t>
  </si>
  <si>
    <t>ED-48494</t>
  </si>
  <si>
    <t>DEMOLIÇÃO MECANIZADA DE CONCRETO, SEM ARMAÇÃO, COM EQUIPAMENTO ELÉTRICO, INCLUSIVE AFASTAMENTO E EMPILHAMENTO, EXCLUSIVE TRANSPORTE E RETIRADA DO MATERIAL DEMOLIDO</t>
  </si>
  <si>
    <t>ED-48442</t>
  </si>
  <si>
    <t>ED-48470</t>
  </si>
  <si>
    <t>CHAPISCO COM ARGAMASSA, TRAÇO 1:3 (CIMENTO E AREIA), ESP. 5MM, APLICADO EM ALVENARIA/ESTRUTURA DE CONCRETO COM COLHER, INCLUSIVE ARGAMASSA COM PREPARO MECANIZADO</t>
  </si>
  <si>
    <t>ED-48164</t>
  </si>
  <si>
    <t>BARRA DE APOIO EM AÇO INOX POLIDO RETA, DN 1.1/4" (31,75MM), PARA ACESSIBILIDADE (PMR/PCR), COMPRIMENTO 40CM, INSTALADO EM PORTA/PAREDE, INCLUSIVE FORNECIMENTO, INSTALAÇÃO E ACESSÓRIOS PARA FIXAÇÃO</t>
  </si>
  <si>
    <t>ED-48163</t>
  </si>
  <si>
    <t>BARRA DE APOIO EM AÇO INOX POLIDO PARA LAVATÓRIO DE CANTO, DN 1.1/4" (31,75MM), PARA ACESSIBILIDADE (PMR/PCR), INSTALADO EM PAREDE, INCLUSIVE FORNECIMENTO, INSTALAÇÃO E ACESSÓRIOS PARA FIXAÇÃO</t>
  </si>
  <si>
    <t>ED-48167</t>
  </si>
  <si>
    <t>CALHA EM CHAPA GALVANIZADA, ESP. 0,5MM (GSG-26), COM DESENVOLVIMENTO DE 33CM, INCLUSIVE IÇAMENTO MANUAL VERTICAL</t>
  </si>
  <si>
    <t>ED-50661</t>
  </si>
  <si>
    <t>7.2</t>
  </si>
  <si>
    <t>7.3</t>
  </si>
  <si>
    <t>7.4</t>
  </si>
  <si>
    <t>7.5</t>
  </si>
  <si>
    <t>7.6</t>
  </si>
  <si>
    <r>
      <rPr>
        <b/>
        <sz val="11"/>
        <color theme="1"/>
        <rFont val="Calibri"/>
        <family val="2"/>
        <scheme val="minor"/>
      </rPr>
      <t>OBRA:</t>
    </r>
    <r>
      <rPr>
        <sz val="11"/>
        <color theme="1"/>
        <rFont val="Calibri"/>
        <family val="2"/>
        <scheme val="minor"/>
      </rPr>
      <t xml:space="preserve">  REFORMA DA E.M. VEREADOR SEBASTIÃO GODINHO NETO</t>
    </r>
  </si>
  <si>
    <r>
      <t xml:space="preserve">ENDEREÇO: </t>
    </r>
    <r>
      <rPr>
        <sz val="11"/>
        <color theme="1"/>
        <rFont val="Calibri"/>
        <family val="2"/>
        <scheme val="minor"/>
      </rPr>
      <t>RUA DARIO ALVES PEREIRA, S/N, SÃO FRANCISCO DO HUMAITÁ, MUTUM - MG</t>
    </r>
  </si>
  <si>
    <t>REASSENTAMENTO LAVATÓRIO DE LOUÇA BRANCA COM COLUNA, TAMANHO MÉDIO, INCLUSIVE ACESSÓRIOS DE FIXAÇÃO, VÁLVULA DE ESCOAMENTO DE METAL COM ACABAMENTO CROMADO, SIFÃO DE METAL TIPO COPO COM ACABAMENTO CROMADO, FORNECIMENTO, INSTALAÇÃO E REJUNTAMENTO, EXCLUSIVE TORNEIRA E ENGATE FLEXÍVEL</t>
  </si>
  <si>
    <t>RESSENTAMENTO BACIA SANITÁRIA (VASO) DE LOUÇA CONVENCIONAL, COR BRANCA, INCLUSIVE ACESSÓRIOS DE FIXAÇÃO/VEDAÇÃO, FORNECIMENTO, INSTALAÇÃO E REJUNTAMENTO, EXCLUSIVE VÁLVULA DE DESCARGA E TUBO DE LIGAÇÃO</t>
  </si>
  <si>
    <t>ED-49943</t>
  </si>
  <si>
    <t>REMOÇÃO MANUAL DE CONJUNTO DE FERRAGENS (DOBRADIÇAS, FECHADURA E MAÇANETAS), COM REAPROVEITAMENTO, INCLUSIVE AFASTAMENTO E EMPILHAMENTO, EXCLUSIVE TRANSPORTE E RETIRADA DO MATERIAL REMOVIDO NÃO REAPROVEITÁVEL</t>
  </si>
  <si>
    <t>ED-48458</t>
  </si>
  <si>
    <t>ED-48502</t>
  </si>
  <si>
    <t>REVESTIMENTO PAREDES E PISOS</t>
  </si>
  <si>
    <t>kg</t>
  </si>
  <si>
    <t>MATED-11262</t>
  </si>
  <si>
    <t>ESTOPA DE ALGODÃO</t>
  </si>
  <si>
    <t>MATED-11624</t>
  </si>
  <si>
    <t>FITA VEDA ROSCA (LARGURA: 12MM| APLICAÇÃO: VEDAÇÃO PARA TUBOS E CONEXÕES ROSCÁVEIS)</t>
  </si>
  <si>
    <t>SIFÃO METÁLICO PARA LAVATÓRIO (TIPO: COPO|MATERIAL: METAL|ACABAMENTO: CROMADO| DIÂMETRO DE ENTRADA: 1"|DIÂMETRO DE SAÍDA: 1.1/2")</t>
  </si>
  <si>
    <t>MATED-11697</t>
  </si>
  <si>
    <t>MATED-11702</t>
  </si>
  <si>
    <t>VÁLVULA DE ESCOAMENTO METÁLICA PARA LAVATÓRIO/BIDÊ (MATERIAL: METAL|ACABAMENTO: CROMADO|DIÂMETRO DE ENTRADA: 7/8" OU 1")</t>
  </si>
  <si>
    <t>PARAFUSO (TIPO: CASTELO|MATERIAL: LATÃO|NÚMERO: 8|ARRUELA: INCLUSA|BUCHA: INCLUSA)</t>
  </si>
  <si>
    <t>MATED-11970</t>
  </si>
  <si>
    <t>REJUNTE CIMENTÍCIO FLEXÍVEL (COR: DIVERSAS|DENSIDADE DA PASTA: 1500KG/M3*)*VALORES REFERENCIAIS APROXIMADOS</t>
  </si>
  <si>
    <t>MATED-12355</t>
  </si>
  <si>
    <t>AJUDANTE DE BOMBEIRO/ENCANADOR COM ENCARGOS COMPLEMENTARES</t>
  </si>
  <si>
    <t>ED-50363</t>
  </si>
  <si>
    <t>REJUNTADOR COM ENCARGOS COMPLEMENTARES</t>
  </si>
  <si>
    <t>ED-50368</t>
  </si>
  <si>
    <t>BOMBEIRO/ENCANADOR COM ENCARGOS COMPLEMENTARES</t>
  </si>
  <si>
    <t>ED-50374</t>
  </si>
  <si>
    <t>ANEL DE VEDAÇÃO PARA SAÍDA DE VASO SANITÁRIO COM GUIA (DIÂMETRO DA SEÇÃO: 100MM)</t>
  </si>
  <si>
    <t>MATED-11705</t>
  </si>
  <si>
    <t>PARAFUSO (TIPO: CASTELO|MATERIAL: LATÃO|NÚMERO: 10|ARRUELA: INCLUSA|BUCHA: INCLUSA)</t>
  </si>
  <si>
    <t>MATED-12601</t>
  </si>
  <si>
    <t>COMPOS-003</t>
  </si>
  <si>
    <t>COBERTURA EM TELHA TIPO COLONIAL, TIPO PVC COR CERÂMICA 2,42x0,88 MM, INCLUSIVE ACESSÓRIOS PARA FIXAÇÃO, FORNERCIMENTO E INSTALAÇÃO</t>
  </si>
  <si>
    <t>MATED-11377</t>
  </si>
  <si>
    <t>COTAÇÃO</t>
  </si>
  <si>
    <t>PARAFUSO (ROSCA: SOBERBA|CABEÇA: SEXTAVADA|MATERIAL: AÇO|ACABAMENTO: ZINCADO| COMPRIMENTO: 110MM|DIÂMETRO: 8MM)</t>
  </si>
  <si>
    <t>MATED-11334</t>
  </si>
  <si>
    <t>CONJUNTO VEDAÇÃO ELÁSTICA ( APLICAÇÃO: TELHADO|DIÂMETRO DO FURO: 8MM)</t>
  </si>
  <si>
    <t>AJUDANTE DE TELHADISTA COM ENCARGOS COMPLEMENTARES</t>
  </si>
  <si>
    <t>ED-50364</t>
  </si>
  <si>
    <t xml:space="preserve">ED-50386 </t>
  </si>
  <si>
    <t>TELHADISTA COM ENCARGOS COMPLEMENTARES</t>
  </si>
  <si>
    <t xml:space="preserve">TELHA COLONIAL, TIPO PVC, COR CERÂMICA </t>
  </si>
  <si>
    <r>
      <t xml:space="preserve">OBRA: </t>
    </r>
    <r>
      <rPr>
        <sz val="12"/>
        <rFont val="Arial"/>
        <family val="2"/>
      </rPr>
      <t xml:space="preserve">REFORMA DA E.M. MUNDO ENCANTADO DE EDUCAÇÃO INFANTIL </t>
    </r>
  </si>
  <si>
    <r>
      <t xml:space="preserve">ENDEREÇO: </t>
    </r>
    <r>
      <rPr>
        <sz val="12"/>
        <rFont val="Arial"/>
        <family val="2"/>
      </rPr>
      <t>PRAÇA ARLINDO BATISTA, S/N, ROSEIRAL, MUTUM - MG</t>
    </r>
  </si>
  <si>
    <t>REMOÇÃO MANUAL DE ENGRADAMENTO PARA TELHA TIPO CERÂMICA OU CONCRETO, INCLUSIVE AFASTAMENTO E EMPILHAMENTO, EXCLUSIVE TRANSPORTE E RETIRADA DO
MATERIAL REMOVIDO NÃO REAPROVEITÁVEL</t>
  </si>
  <si>
    <t>REMOÇÃO MANUAL DE TELHA CERÂMICA, COM REAPROVEITAMENTO, INCLUSIVE AFASTAMENTO E EMPILHAMENTO, EXCLUSIVE TRANSPORTE E RETIRADA DO MATERIAL REMOVIDO NÃO REAPROVEITÁVEL</t>
  </si>
  <si>
    <t>REMOÇÃO MANUAL DE METAIS COMUNS E ACABAMENTOS (TORNEIRA, ACABAMENTO PARA REGISTRO, SIFÃO, ENGATE FLEXÍVEL, ETC.), COM REAPROVEITAMENTO, INCLUSIVE AFASTAMENTO E EMPILHAMENTO, EXCLUSIVE TRANSPORTE E RETIRADA DO MATERIAL REMOVIDO NÃO REAPROVEITÁVEL</t>
  </si>
  <si>
    <t>BARRA DE APOIO EM AÇO INOX POLIDO RETA, DN 1.1/4" (31,75MM), PARA ACESSIBILIDADE (PMR/PCR), COMPRIMENTO 70CM, INSTALADO EM PAREDE, INCLUSIVE FORNECIMENTO,
INSTALAÇÃO E ACESSÓRIOS PARA FIXAÇÃO</t>
  </si>
  <si>
    <t>GRELHA EM FERRO FUNDIDO COM CAIXILHO, DIMENSÃO (15X15) CM, INCLUSIVE ASSENTAMENTO DE CAIXILHO, EXCLUSIVE CAIXA COLETORA</t>
  </si>
  <si>
    <t>ACABAMENTO PLÁSTICO COM ACIONAMENTO DUPLO, NA COR BRANCA, PARA CAIXA DE DESCARGA DE EMBUTIR, COMANDO DE ACIONAMENTO, INCLUSIVE ACESSÓRIOS PARA FIXAÇÃO E INSTALAÇÃO</t>
  </si>
  <si>
    <t>ED-16339</t>
  </si>
  <si>
    <t>ASSENTO SANITÁRIO CONVENCIONAL - FORNECIMENTO E INSTALACAO. AF_01/2020</t>
  </si>
  <si>
    <t>SIFÃO DO TIPO FLEXÍVEL EM PVC 1 X 1.1/2 - FORNECIMENTO E INSTALAÇÃO. AF_01/2020</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</si>
  <si>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</si>
  <si>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ENGRADAMENTO EM MADEIRA PARAJU OU EQUIVALENTE, PARA
TELHAS CERÂMICAS OU DE CONCRETO, EXCLUSIVE TELHAS</t>
  </si>
  <si>
    <t>ED-48407</t>
  </si>
  <si>
    <t>CONDUTOR CIRCULAR DE ÁGUA PLUVIAL PARA DO TELHADO EM TUBO DE PVC, DIÂMETRO DE 100MM, INCLUSIVE CONEXÕES E SUPORTES</t>
  </si>
  <si>
    <t>ED-50668</t>
  </si>
  <si>
    <t>PINTURA ESMALTE BASE SOLVENTE EM ESTRUTURA METÁLICA, DUAS (2) DEMÃOS, INCLUSIVE UMA (1) DEMÃO FUNDO ANTICORROSIVO</t>
  </si>
  <si>
    <t>PINTURA ESMALTE BASE SOLVENTE EM SUPERFÍCIE DE MADEIRA, DUAS (2) DEMÃOS, EXCLUSIVE FUNDO NIVELADOR E MASSA A ÓLEO</t>
  </si>
  <si>
    <t>PORTA DE MADEIRA COMPLETA, DIMENSÃO (80X210)CM, TIPO DE ABRIR, UMA (1) FOLHA, ACABAMENTO NATURAL PARA PINTURA/ VERNIZ, TIPO PRANCHETA/SARRAFEADA, INCLUSIVE MARCO, ALIZAR E FERRAGENS, EXCLUSIVE PINTURA/VERNIZ</t>
  </si>
  <si>
    <t>ED-49602</t>
  </si>
  <si>
    <t>8.3</t>
  </si>
  <si>
    <t>8.4</t>
  </si>
  <si>
    <t>8.5</t>
  </si>
  <si>
    <t>8.6</t>
  </si>
  <si>
    <t xml:space="preserve">SERVIÇOS COMPLEMENTARES </t>
  </si>
  <si>
    <t>VIDRO IMPRESSO (FANTASIA) TRANSLÚCIDO INCOLOR, ESP. 3MM, INCLUSIVE FIXAÇÃO E VEDAÇÃO COM GUARNIÇÃO/GAXETA DE BORRACHA NEOPRENE, FORNECIMENTO E INSTALAÇÃO, EXCLUSIVE CAIXILHO/PERFIL</t>
  </si>
  <si>
    <t>ED-51153</t>
  </si>
  <si>
    <t>PASSEIOS DE CONCRETO E = 8 CM, FCK = 15 MPA PADRÃO PREFEITURA</t>
  </si>
  <si>
    <t>ED-51144</t>
  </si>
  <si>
    <r>
      <rPr>
        <b/>
        <sz val="12"/>
        <rFont val="Arial"/>
        <family val="2"/>
      </rPr>
      <t>PREÇO DE CUSTO:</t>
    </r>
    <r>
      <rPr>
        <sz val="12"/>
        <rFont val="Arial"/>
        <family val="2"/>
      </rPr>
      <t xml:space="preserve"> SETOP - SEM DESONERAÇÃO FISCAL, REGIÃO LESTE, OUTUBRO/2024 | SINAPI 12/2024 - NÃO DESONERADO</t>
    </r>
  </si>
  <si>
    <r>
      <t xml:space="preserve">DATA: </t>
    </r>
    <r>
      <rPr>
        <sz val="12"/>
        <rFont val="Arial"/>
        <family val="2"/>
      </rPr>
      <t>10/01/2025</t>
    </r>
  </si>
  <si>
    <t>2.7</t>
  </si>
  <si>
    <t>DEMOLIÇÃO MANUAL DE REVESTIMENTO CERÂMICO, AZULEJO OU LADRILHO HIDRÁULICO, INCLUSIVE AFASTAMENTO E EMPILHAMENTO, EXCLUSIVE DEMOLIÇÃO DO REBOCO OU EMBOÇO, TRANSPORTE E RETIRADA DO MATERIAL DEMOLIDO</t>
  </si>
  <si>
    <t>4.9</t>
  </si>
  <si>
    <t xml:space="preserve">PREÇO TOTAL </t>
  </si>
  <si>
    <t>7.7</t>
  </si>
  <si>
    <t>GUARDA-CORPO EXTERNO, ALTURA 130CM, EM TUBO GALVANIZADO, COM COSTURA, DIÂMETRO 2", ESP. 3MM, GRADIL COM QUADRO EM BARRA CHATA (1.1/4"X3/16") E DIVISÃO VERTICAL EM BARRA CHATA (1.1/2"X3/16"), EXCLUSIVE PINTURA</t>
  </si>
  <si>
    <t>ED-32063</t>
  </si>
  <si>
    <t>FOLHAS: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</si>
</sst>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_(* #,##0.00_);_(* \(#,##0.00\);_(* \-??_);_(@_)"/>
  </numFmts>
  <fonts count="19" x14ac:knownFonts="1">
    <font>
      <sz val="11"/>
      <color theme="1"/>
      <name val="Calibri"/>
      <family val="2"/>
      <scheme val="minor"/>
    </font>
    <font>
      <sz val="11"/>
      <color rgb="FF000000"/>
      <name val="Calibri"/>
      <family val="2"/>
      <scheme val="minor"/>
    </font>
    <font>
      <sz val="11"/>
      <color theme="1"/>
      <name val="Calibri"/>
      <family val="2"/>
      <scheme val="minor"/>
    </font>
    <font>
      <sz val="10"/>
      <name val="Arial"/>
      <family val="2"/>
    </font>
    <font>
      <b/>
      <sz val="14"/>
      <name val="Arial"/>
      <family val="2"/>
    </font>
    <font>
      <b/>
      <sz val="28"/>
      <name val="Arial"/>
      <family val="2"/>
    </font>
    <font>
      <sz val="11"/>
      <name val="Calibri"/>
      <family val="2"/>
      <scheme val="minor"/>
    </font>
    <font>
      <b/>
      <sz val="12"/>
      <name val="Arial"/>
      <family val="2"/>
    </font>
    <font>
      <sz val="12"/>
      <name val="Arial"/>
      <family val="2"/>
    </font>
    <font>
      <b/>
      <sz val="11"/>
      <name val="Calibri"/>
      <family val="2"/>
      <scheme val="minor"/>
    </font>
    <font>
      <sz val="14"/>
      <name val="Arial"/>
      <family val="2"/>
    </font>
    <font>
      <sz val="14"/>
      <name val="Calibri"/>
      <family val="2"/>
      <scheme val="minor"/>
    </font>
    <font>
      <b/>
      <sz val="11"/>
      <name val="Arial"/>
      <family val="2"/>
    </font>
    <font>
      <b/>
      <sz val="18"/>
      <name val="Arial"/>
      <family val="2"/>
    </font>
    <font>
      <sz val="18"/>
      <name val="Arial"/>
      <family val="2"/>
    </font>
    <font>
      <b/>
      <sz val="11"/>
      <color theme="1"/>
      <name val="Calibri"/>
      <family val="2"/>
      <scheme val="minor"/>
    </font>
    <font>
      <b/>
      <sz val="24"/>
      <color theme="1"/>
      <name val="Calibri"/>
      <family val="2"/>
      <scheme val="minor"/>
    </font>
    <font>
      <sz val="10"/>
      <name val="Arial"/>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s>
  <cellStyleXfs count="11">
    <xf numFmtId="0" fontId="0" fillId="0" borderId="0"/>
    <xf numFmtId="43" fontId="1"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164" fontId="3" fillId="0" borderId="0" applyFill="0" applyBorder="0" applyAlignment="0" applyProtection="0"/>
    <xf numFmtId="44" fontId="2" fillId="0" borderId="0" applyFont="0" applyFill="0" applyBorder="0" applyAlignment="0" applyProtection="0"/>
    <xf numFmtId="0" fontId="2" fillId="0" borderId="0"/>
    <xf numFmtId="0" fontId="17" fillId="0" borderId="0"/>
    <xf numFmtId="0" fontId="17" fillId="0" borderId="0"/>
  </cellStyleXfs>
  <cellXfs count="95">
    <xf numFmtId="0" fontId="0" fillId="0" borderId="0" xfId="0"/>
    <xf numFmtId="0" fontId="4" fillId="3" borderId="8" xfId="0" applyFont="1" applyFill="1" applyBorder="1"/>
    <xf numFmtId="0" fontId="6" fillId="2" borderId="0" xfId="0" applyFont="1" applyFill="1" applyProtection="1">
      <protection locked="0"/>
    </xf>
    <xf numFmtId="0" fontId="7" fillId="2" borderId="6" xfId="0" applyFont="1" applyFill="1" applyBorder="1" applyProtection="1">
      <protection locked="0"/>
    </xf>
    <xf numFmtId="0" fontId="8" fillId="2" borderId="11" xfId="0" applyFont="1" applyFill="1" applyBorder="1" applyProtection="1">
      <protection locked="0"/>
    </xf>
    <xf numFmtId="0" fontId="7" fillId="2" borderId="7" xfId="0" applyFont="1" applyFill="1" applyBorder="1" applyProtection="1">
      <protection locked="0"/>
    </xf>
    <xf numFmtId="0" fontId="7" fillId="2" borderId="6"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49" fontId="4" fillId="3" borderId="8" xfId="0" applyNumberFormat="1"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 xfId="0" applyFont="1" applyFill="1" applyBorder="1" applyAlignment="1">
      <alignment wrapText="1"/>
    </xf>
    <xf numFmtId="0" fontId="9" fillId="2" borderId="0" xfId="0" applyFont="1" applyFill="1" applyProtection="1">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lignment wrapText="1"/>
    </xf>
    <xf numFmtId="0" fontId="10" fillId="2" borderId="1" xfId="0" applyFont="1" applyFill="1" applyBorder="1" applyAlignment="1">
      <alignment horizontal="center" vertical="center"/>
    </xf>
    <xf numFmtId="44" fontId="10" fillId="2" borderId="1" xfId="7" applyFont="1" applyFill="1" applyBorder="1" applyAlignment="1" applyProtection="1">
      <alignment horizontal="center" vertical="center"/>
    </xf>
    <xf numFmtId="0" fontId="11" fillId="2" borderId="1" xfId="0" applyFont="1" applyFill="1" applyBorder="1" applyAlignment="1" applyProtection="1">
      <alignment horizontal="center" vertical="center"/>
      <protection locked="0"/>
    </xf>
    <xf numFmtId="0" fontId="10" fillId="2" borderId="1" xfId="0" applyFont="1" applyFill="1" applyBorder="1" applyAlignment="1">
      <alignment horizontal="right" wrapText="1"/>
    </xf>
    <xf numFmtId="0" fontId="10" fillId="2" borderId="1" xfId="0" applyFont="1" applyFill="1" applyBorder="1"/>
    <xf numFmtId="44" fontId="10" fillId="2" borderId="1" xfId="7" applyFont="1" applyFill="1" applyBorder="1" applyProtection="1"/>
    <xf numFmtId="44" fontId="4" fillId="2" borderId="1" xfId="7" applyFont="1" applyFill="1" applyBorder="1" applyAlignment="1" applyProtection="1">
      <alignment horizontal="center"/>
    </xf>
    <xf numFmtId="0" fontId="6"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3" fillId="2" borderId="1" xfId="0" applyFont="1" applyFill="1" applyBorder="1" applyAlignment="1">
      <alignment horizontal="right"/>
    </xf>
    <xf numFmtId="0" fontId="14" fillId="2" borderId="1" xfId="0" applyFont="1" applyFill="1" applyBorder="1"/>
    <xf numFmtId="44" fontId="13" fillId="2" borderId="1" xfId="7" applyFont="1" applyFill="1" applyBorder="1" applyProtection="1"/>
    <xf numFmtId="43" fontId="6" fillId="2" borderId="0" xfId="3" applyFont="1" applyFill="1" applyProtection="1">
      <protection locked="0"/>
    </xf>
    <xf numFmtId="0" fontId="7" fillId="2" borderId="11" xfId="0" applyFont="1" applyFill="1" applyBorder="1" applyProtection="1">
      <protection locked="0"/>
    </xf>
    <xf numFmtId="44" fontId="4" fillId="3" borderId="1" xfId="0" applyNumberFormat="1" applyFont="1" applyFill="1" applyBorder="1"/>
    <xf numFmtId="0" fontId="16" fillId="0" borderId="0" xfId="0" applyFont="1" applyAlignment="1">
      <alignment horizontal="center"/>
    </xf>
    <xf numFmtId="0" fontId="0" fillId="0" borderId="1" xfId="0" applyBorder="1"/>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43" fontId="15" fillId="0" borderId="1" xfId="3"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2" borderId="12" xfId="0" applyFont="1" applyFill="1" applyBorder="1" applyProtection="1">
      <protection locked="0"/>
    </xf>
    <xf numFmtId="0" fontId="10" fillId="2" borderId="0" xfId="0" applyFont="1" applyFill="1" applyAlignment="1" applyProtection="1">
      <alignment horizontal="center"/>
      <protection locked="0"/>
    </xf>
    <xf numFmtId="44" fontId="15" fillId="0" borderId="1" xfId="7" applyFont="1" applyBorder="1" applyAlignment="1">
      <alignment horizontal="center" vertical="center"/>
    </xf>
    <xf numFmtId="0" fontId="6" fillId="2" borderId="12" xfId="0" applyFont="1" applyFill="1" applyBorder="1" applyProtection="1">
      <protection locked="0"/>
    </xf>
    <xf numFmtId="0" fontId="6" fillId="2" borderId="0" xfId="0" applyFont="1" applyFill="1" applyAlignment="1" applyProtection="1">
      <alignment horizontal="center"/>
      <protection locked="0"/>
    </xf>
    <xf numFmtId="0" fontId="7" fillId="2" borderId="6" xfId="0" applyFont="1" applyFill="1" applyBorder="1" applyAlignment="1" applyProtection="1">
      <alignment vertical="center"/>
      <protection locked="0"/>
    </xf>
    <xf numFmtId="0" fontId="4" fillId="3" borderId="8" xfId="0" applyFont="1" applyFill="1" applyBorder="1" applyAlignment="1" applyProtection="1">
      <alignment vertical="center"/>
      <protection locked="0"/>
    </xf>
    <xf numFmtId="43" fontId="10" fillId="2" borderId="1" xfId="3" applyFont="1" applyFill="1" applyBorder="1" applyAlignment="1" applyProtection="1">
      <alignment vertical="center"/>
      <protection locked="0"/>
    </xf>
    <xf numFmtId="43" fontId="13" fillId="2" borderId="1" xfId="3"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10" fillId="2" borderId="1" xfId="0" applyFont="1" applyFill="1" applyBorder="1" applyAlignment="1">
      <alignment vertical="center" wrapText="1"/>
    </xf>
    <xf numFmtId="0" fontId="10" fillId="2" borderId="1" xfId="0" applyFont="1" applyFill="1" applyBorder="1" applyAlignment="1">
      <alignment horizontal="right" vertical="center" wrapText="1"/>
    </xf>
    <xf numFmtId="0" fontId="10" fillId="2" borderId="1" xfId="0" applyFont="1" applyFill="1" applyBorder="1" applyAlignment="1">
      <alignment horizontal="left" vertical="top" wrapText="1"/>
    </xf>
    <xf numFmtId="44" fontId="10" fillId="2" borderId="1" xfId="7" applyFont="1" applyFill="1" applyBorder="1" applyAlignment="1" applyProtection="1">
      <alignment vertical="center"/>
    </xf>
    <xf numFmtId="0" fontId="10" fillId="2" borderId="1" xfId="0" applyFont="1" applyFill="1" applyBorder="1" applyAlignment="1">
      <alignment horizontal="left"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43" fontId="0" fillId="0" borderId="1" xfId="3" applyFont="1" applyBorder="1" applyAlignment="1">
      <alignment vertical="center"/>
    </xf>
    <xf numFmtId="44" fontId="0" fillId="0" borderId="1" xfId="7" applyFont="1" applyBorder="1" applyAlignment="1">
      <alignment vertical="center"/>
    </xf>
    <xf numFmtId="0" fontId="0" fillId="0" borderId="0" xfId="0" applyAlignment="1">
      <alignment horizontal="center" vertical="center"/>
    </xf>
    <xf numFmtId="0" fontId="0" fillId="0" borderId="0" xfId="0" applyAlignment="1">
      <alignment horizontal="center" wrapText="1"/>
    </xf>
    <xf numFmtId="43" fontId="0" fillId="0" borderId="0" xfId="3" applyFont="1" applyBorder="1" applyAlignment="1">
      <alignment vertical="center"/>
    </xf>
    <xf numFmtId="44" fontId="0" fillId="0" borderId="0" xfId="7" applyFont="1" applyBorder="1" applyAlignment="1">
      <alignment vertical="center"/>
    </xf>
    <xf numFmtId="0" fontId="0" fillId="0" borderId="0" xfId="0" applyAlignment="1">
      <alignment horizontal="left" vertical="center" wrapText="1"/>
    </xf>
    <xf numFmtId="0" fontId="0" fillId="0" borderId="1" xfId="0" applyBorder="1" applyAlignment="1">
      <alignment vertical="center" wrapText="1"/>
    </xf>
    <xf numFmtId="0" fontId="0" fillId="0" borderId="0" xfId="0" applyAlignment="1">
      <alignment horizontal="center"/>
    </xf>
    <xf numFmtId="0" fontId="0" fillId="0" borderId="0" xfId="0" applyAlignment="1">
      <alignment wrapText="1"/>
    </xf>
    <xf numFmtId="43" fontId="0" fillId="0" borderId="0" xfId="3" applyFont="1" applyBorder="1"/>
    <xf numFmtId="44" fontId="0" fillId="0" borderId="0" xfId="7" applyFont="1" applyBorder="1"/>
    <xf numFmtId="0" fontId="11" fillId="2" borderId="8"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8" xfId="0" applyFont="1" applyFill="1" applyBorder="1"/>
    <xf numFmtId="43" fontId="10" fillId="2" borderId="8" xfId="3" applyFont="1" applyFill="1" applyBorder="1" applyAlignment="1" applyProtection="1">
      <alignment vertical="center"/>
      <protection locked="0"/>
    </xf>
    <xf numFmtId="44" fontId="10" fillId="2" borderId="6" xfId="7" applyFont="1" applyFill="1" applyBorder="1" applyProtection="1"/>
    <xf numFmtId="44" fontId="10" fillId="2" borderId="7" xfId="7" applyFont="1" applyFill="1" applyBorder="1" applyProtection="1"/>
    <xf numFmtId="0" fontId="10" fillId="2" borderId="1" xfId="0" applyFont="1" applyFill="1" applyBorder="1" applyAlignment="1">
      <alignment horizontal="left" vertical="center" wrapText="1"/>
    </xf>
    <xf numFmtId="0" fontId="7" fillId="3" borderId="6" xfId="0" applyFont="1" applyFill="1" applyBorder="1" applyAlignment="1">
      <alignment horizontal="center"/>
    </xf>
    <xf numFmtId="0" fontId="7" fillId="3" borderId="7" xfId="0" applyFont="1" applyFill="1" applyBorder="1" applyAlignment="1">
      <alignment horizontal="center"/>
    </xf>
    <xf numFmtId="0" fontId="5"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7" fillId="2" borderId="6"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7" fillId="2" borderId="7" xfId="0" applyFont="1" applyFill="1" applyBorder="1" applyAlignment="1" applyProtection="1">
      <alignment horizontal="left"/>
      <protection locked="0"/>
    </xf>
    <xf numFmtId="0" fontId="7" fillId="2" borderId="1" xfId="0" applyFont="1" applyFill="1" applyBorder="1" applyAlignment="1" applyProtection="1">
      <alignment horizontal="center"/>
      <protection locked="0"/>
    </xf>
    <xf numFmtId="10" fontId="7" fillId="2" borderId="3" xfId="4" applyNumberFormat="1" applyFont="1" applyFill="1" applyBorder="1" applyAlignment="1" applyProtection="1">
      <alignment horizontal="center" vertical="center"/>
      <protection locked="0"/>
    </xf>
    <xf numFmtId="10" fontId="7" fillId="2" borderId="5" xfId="4"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0" fontId="7" fillId="2" borderId="2"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16" fillId="0" borderId="1" xfId="0" applyFont="1" applyBorder="1" applyAlignment="1">
      <alignment horizontal="center"/>
    </xf>
    <xf numFmtId="0" fontId="0" fillId="0" borderId="1" xfId="0" applyBorder="1" applyAlignment="1">
      <alignment horizontal="left"/>
    </xf>
    <xf numFmtId="0" fontId="15" fillId="0" borderId="1" xfId="0" applyFont="1" applyBorder="1" applyAlignment="1">
      <alignment horizontal="left"/>
    </xf>
  </cellXfs>
  <cellStyles count="11">
    <cellStyle name="Moeda" xfId="7" builtinId="4"/>
    <cellStyle name="Normal" xfId="0" builtinId="0"/>
    <cellStyle name="Normal 2" xfId="5" xr:uid="{00000000-0005-0000-0000-000002000000}"/>
    <cellStyle name="Normal 2 2" xfId="8" xr:uid="{00000000-0005-0000-0000-000003000000}"/>
    <cellStyle name="Normal 2 2 3" xfId="2" xr:uid="{00000000-0005-0000-0000-000004000000}"/>
    <cellStyle name="Normal 2 3" xfId="9" xr:uid="{00000000-0005-0000-0000-000005000000}"/>
    <cellStyle name="Normal 3" xfId="10" xr:uid="{00000000-0005-0000-0000-000006000000}"/>
    <cellStyle name="Porcentagem" xfId="4" builtinId="5"/>
    <cellStyle name="Separador de milhares 2" xfId="6" xr:uid="{00000000-0005-0000-0000-000009000000}"/>
    <cellStyle name="Vírgula" xfId="3" builtinId="3"/>
    <cellStyle name="Vírgula 2 2" xfId="1"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200025</xdr:colOff>
          <xdr:row>0</xdr:row>
          <xdr:rowOff>38100</xdr:rowOff>
        </xdr:from>
        <xdr:to>
          <xdr:col>2</xdr:col>
          <xdr:colOff>323850</xdr:colOff>
          <xdr:row>0</xdr:row>
          <xdr:rowOff>895350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xdr:col>
      <xdr:colOff>609600</xdr:colOff>
      <xdr:row>20</xdr:row>
      <xdr:rowOff>90487</xdr:rowOff>
    </xdr:from>
    <xdr:ext cx="65" cy="172227"/>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8458200" y="31765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oneCellAnchor>
    <xdr:from>
      <xdr:col>5</xdr:col>
      <xdr:colOff>609600</xdr:colOff>
      <xdr:row>30</xdr:row>
      <xdr:rowOff>90487</xdr:rowOff>
    </xdr:from>
    <xdr:ext cx="65" cy="172227"/>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8458200" y="6043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6"/>
  <sheetViews>
    <sheetView tabSelected="1" view="pageBreakPreview" topLeftCell="B49" zoomScale="77" zoomScaleNormal="77" zoomScaleSheetLayoutView="77" workbookViewId="0">
      <selection activeCell="I25" sqref="I25"/>
    </sheetView>
  </sheetViews>
  <sheetFormatPr defaultColWidth="8.85546875" defaultRowHeight="15" x14ac:dyDescent="0.25"/>
  <cols>
    <col min="1" max="1" width="8.42578125" style="2" customWidth="1"/>
    <col min="2" max="2" width="20.28515625" style="2" customWidth="1"/>
    <col min="3" max="3" width="19.140625" style="2" customWidth="1"/>
    <col min="4" max="4" width="113.140625" style="2" customWidth="1"/>
    <col min="5" max="5" width="10.7109375" style="2" customWidth="1"/>
    <col min="6" max="6" width="16.28515625" style="45" bestFit="1" customWidth="1"/>
    <col min="7" max="7" width="18" style="2" customWidth="1"/>
    <col min="8" max="8" width="18.28515625" style="2" customWidth="1"/>
    <col min="9" max="9" width="27.140625" style="2" customWidth="1"/>
    <col min="10" max="16384" width="8.85546875" style="2"/>
  </cols>
  <sheetData>
    <row r="1" spans="1:16" ht="71.25" customHeight="1" x14ac:dyDescent="0.25">
      <c r="A1" s="75" t="s">
        <v>105</v>
      </c>
      <c r="B1" s="75"/>
      <c r="C1" s="75"/>
      <c r="D1" s="75"/>
      <c r="E1" s="75"/>
      <c r="F1" s="75"/>
      <c r="G1" s="75"/>
      <c r="H1" s="75"/>
      <c r="I1" s="75"/>
    </row>
    <row r="2" spans="1:16" ht="15.75" x14ac:dyDescent="0.25">
      <c r="A2" s="76" t="s">
        <v>65</v>
      </c>
      <c r="B2" s="76"/>
      <c r="C2" s="76"/>
      <c r="D2" s="76"/>
      <c r="E2" s="76"/>
      <c r="F2" s="76"/>
      <c r="G2" s="76" t="s">
        <v>221</v>
      </c>
      <c r="H2" s="77"/>
      <c r="I2" s="77"/>
      <c r="P2" t="s">
        <v>12</v>
      </c>
    </row>
    <row r="3" spans="1:16" ht="15.75" x14ac:dyDescent="0.25">
      <c r="A3" s="3" t="s">
        <v>183</v>
      </c>
      <c r="B3" s="28"/>
      <c r="C3" s="4"/>
      <c r="D3" s="4"/>
      <c r="E3" s="4"/>
      <c r="F3" s="41" t="s">
        <v>43</v>
      </c>
      <c r="G3" s="5"/>
      <c r="H3" s="3" t="s">
        <v>213</v>
      </c>
      <c r="I3" s="5"/>
      <c r="P3" t="s">
        <v>44</v>
      </c>
    </row>
    <row r="4" spans="1:16" ht="15.75" x14ac:dyDescent="0.25">
      <c r="A4" s="78" t="s">
        <v>184</v>
      </c>
      <c r="B4" s="79"/>
      <c r="C4" s="79"/>
      <c r="D4" s="79"/>
      <c r="E4" s="80"/>
      <c r="F4" s="81" t="s">
        <v>4</v>
      </c>
      <c r="G4" s="81"/>
      <c r="H4" s="81"/>
      <c r="I4" s="81"/>
      <c r="P4" t="s">
        <v>45</v>
      </c>
    </row>
    <row r="5" spans="1:16" ht="15.75" x14ac:dyDescent="0.25">
      <c r="A5" s="85" t="s">
        <v>212</v>
      </c>
      <c r="B5" s="85"/>
      <c r="C5" s="85"/>
      <c r="D5" s="85"/>
      <c r="E5" s="85"/>
      <c r="F5" s="86" t="s">
        <v>5</v>
      </c>
      <c r="G5" s="89" t="s">
        <v>6</v>
      </c>
      <c r="H5" s="6" t="s">
        <v>13</v>
      </c>
      <c r="I5" s="5" t="s">
        <v>7</v>
      </c>
      <c r="P5" s="2" t="s">
        <v>51</v>
      </c>
    </row>
    <row r="6" spans="1:16" ht="15.75" x14ac:dyDescent="0.25">
      <c r="A6" s="84" t="s">
        <v>94</v>
      </c>
      <c r="B6" s="84"/>
      <c r="C6" s="85"/>
      <c r="D6" s="85"/>
      <c r="E6" s="85"/>
      <c r="F6" s="87"/>
      <c r="G6" s="90"/>
      <c r="H6" s="86" t="s">
        <v>37</v>
      </c>
      <c r="I6" s="82">
        <v>0.23530000000000001</v>
      </c>
    </row>
    <row r="7" spans="1:16" ht="15.75" x14ac:dyDescent="0.25">
      <c r="A7" s="84" t="s">
        <v>109</v>
      </c>
      <c r="B7" s="84"/>
      <c r="C7" s="85"/>
      <c r="D7" s="85"/>
      <c r="E7" s="85"/>
      <c r="F7" s="88"/>
      <c r="G7" s="91"/>
      <c r="H7" s="88"/>
      <c r="I7" s="83"/>
    </row>
    <row r="8" spans="1:16" ht="31.5" x14ac:dyDescent="0.25">
      <c r="A8" s="7" t="s">
        <v>46</v>
      </c>
      <c r="B8" s="7" t="s">
        <v>41</v>
      </c>
      <c r="C8" s="7" t="s">
        <v>0</v>
      </c>
      <c r="D8" s="7" t="s">
        <v>47</v>
      </c>
      <c r="E8" s="7" t="s">
        <v>8</v>
      </c>
      <c r="F8" s="7" t="s">
        <v>9</v>
      </c>
      <c r="G8" s="8" t="s">
        <v>39</v>
      </c>
      <c r="H8" s="8" t="s">
        <v>38</v>
      </c>
      <c r="I8" s="7" t="s">
        <v>217</v>
      </c>
    </row>
    <row r="9" spans="1:16" s="12" customFormat="1" ht="18" x14ac:dyDescent="0.25">
      <c r="A9" s="9">
        <v>1</v>
      </c>
      <c r="B9" s="9"/>
      <c r="C9" s="10"/>
      <c r="D9" s="11" t="s">
        <v>36</v>
      </c>
      <c r="E9" s="1"/>
      <c r="F9" s="42"/>
      <c r="G9" s="73" t="s">
        <v>10</v>
      </c>
      <c r="H9" s="74"/>
      <c r="I9" s="29">
        <f>SUM(I10:I10)</f>
        <v>1519.68</v>
      </c>
    </row>
    <row r="10" spans="1:16" ht="90" x14ac:dyDescent="0.25">
      <c r="A10" s="13" t="s">
        <v>3</v>
      </c>
      <c r="B10" s="35" t="s">
        <v>12</v>
      </c>
      <c r="C10" s="13" t="s">
        <v>61</v>
      </c>
      <c r="D10" s="46" t="s">
        <v>118</v>
      </c>
      <c r="E10" s="15" t="s">
        <v>57</v>
      </c>
      <c r="F10" s="43">
        <v>1</v>
      </c>
      <c r="G10" s="16">
        <v>1230.21</v>
      </c>
      <c r="H10" s="16">
        <f t="shared" ref="H10" si="0">IF(C10=0,"",ROUND(G10+G10*$I$6,2))</f>
        <v>1519.68</v>
      </c>
      <c r="I10" s="16">
        <f t="shared" ref="I10" si="1">IF(C10=0,"",ROUND(F10*H10,2))</f>
        <v>1519.68</v>
      </c>
    </row>
    <row r="11" spans="1:16" ht="18.75" x14ac:dyDescent="0.25">
      <c r="A11" s="17"/>
      <c r="B11" s="17"/>
      <c r="C11" s="13"/>
      <c r="D11" s="18"/>
      <c r="E11" s="19"/>
      <c r="F11" s="43"/>
      <c r="G11" s="20"/>
      <c r="H11" s="20"/>
      <c r="I11" s="21"/>
    </row>
    <row r="12" spans="1:16" s="12" customFormat="1" ht="18" x14ac:dyDescent="0.25">
      <c r="A12" s="9" t="s">
        <v>67</v>
      </c>
      <c r="B12" s="9"/>
      <c r="C12" s="10"/>
      <c r="D12" s="11" t="s">
        <v>95</v>
      </c>
      <c r="E12" s="1"/>
      <c r="F12" s="42"/>
      <c r="G12" s="73" t="s">
        <v>10</v>
      </c>
      <c r="H12" s="74"/>
      <c r="I12" s="29">
        <v>4066.25</v>
      </c>
    </row>
    <row r="13" spans="1:16" ht="72" x14ac:dyDescent="0.25">
      <c r="A13" s="13" t="s">
        <v>68</v>
      </c>
      <c r="B13" s="35" t="s">
        <v>12</v>
      </c>
      <c r="C13" s="13" t="s">
        <v>119</v>
      </c>
      <c r="D13" s="46" t="s">
        <v>185</v>
      </c>
      <c r="E13" s="15" t="s">
        <v>54</v>
      </c>
      <c r="F13" s="43">
        <v>46.02</v>
      </c>
      <c r="G13" s="16">
        <v>22.91</v>
      </c>
      <c r="H13" s="16">
        <f>IF(C13=0,"",ROUND(G13+G13*$I$6,2))</f>
        <v>28.3</v>
      </c>
      <c r="I13" s="16">
        <f>IF(C13=0,"",ROUND(F13*H13,2))</f>
        <v>1302.3699999999999</v>
      </c>
    </row>
    <row r="14" spans="1:16" ht="54" x14ac:dyDescent="0.25">
      <c r="A14" s="13" t="s">
        <v>69</v>
      </c>
      <c r="B14" s="35" t="s">
        <v>12</v>
      </c>
      <c r="C14" s="13" t="s">
        <v>15</v>
      </c>
      <c r="D14" s="46" t="s">
        <v>120</v>
      </c>
      <c r="E14" s="15" t="s">
        <v>54</v>
      </c>
      <c r="F14" s="43">
        <v>83.3</v>
      </c>
      <c r="G14" s="16">
        <v>10.119999999999999</v>
      </c>
      <c r="H14" s="16">
        <f t="shared" ref="H14:H20" si="2">IF(C14=0,"",ROUND(G14+G14*$I$6,2))</f>
        <v>12.5</v>
      </c>
      <c r="I14" s="16">
        <f t="shared" ref="I14:I20" si="3">IF(C14=0,"",ROUND(F14*H14,2))</f>
        <v>1041.25</v>
      </c>
    </row>
    <row r="15" spans="1:16" ht="72" x14ac:dyDescent="0.25">
      <c r="A15" s="13" t="s">
        <v>70</v>
      </c>
      <c r="B15" s="35" t="s">
        <v>12</v>
      </c>
      <c r="C15" s="13" t="s">
        <v>122</v>
      </c>
      <c r="D15" s="46" t="s">
        <v>121</v>
      </c>
      <c r="E15" s="15" t="s">
        <v>54</v>
      </c>
      <c r="F15" s="43">
        <v>1.68</v>
      </c>
      <c r="G15" s="16">
        <v>9.2100000000000009</v>
      </c>
      <c r="H15" s="16">
        <f t="shared" si="2"/>
        <v>11.38</v>
      </c>
      <c r="I15" s="16">
        <f t="shared" si="3"/>
        <v>19.12</v>
      </c>
    </row>
    <row r="16" spans="1:16" ht="54" x14ac:dyDescent="0.25">
      <c r="A16" s="13" t="s">
        <v>71</v>
      </c>
      <c r="B16" s="35" t="s">
        <v>12</v>
      </c>
      <c r="C16" s="13" t="s">
        <v>124</v>
      </c>
      <c r="D16" s="46" t="s">
        <v>123</v>
      </c>
      <c r="E16" s="15" t="s">
        <v>56</v>
      </c>
      <c r="F16" s="43">
        <v>0.72599999999999998</v>
      </c>
      <c r="G16" s="16">
        <v>154.30000000000001</v>
      </c>
      <c r="H16" s="16">
        <f t="shared" si="2"/>
        <v>190.61</v>
      </c>
      <c r="I16" s="16">
        <v>139.15</v>
      </c>
    </row>
    <row r="17" spans="1:9" ht="54" x14ac:dyDescent="0.25">
      <c r="A17" s="13" t="s">
        <v>72</v>
      </c>
      <c r="B17" s="35" t="s">
        <v>12</v>
      </c>
      <c r="C17" s="13" t="s">
        <v>16</v>
      </c>
      <c r="D17" s="46" t="s">
        <v>186</v>
      </c>
      <c r="E17" s="15" t="s">
        <v>54</v>
      </c>
      <c r="F17" s="43">
        <v>46.02</v>
      </c>
      <c r="G17" s="16">
        <v>24.68</v>
      </c>
      <c r="H17" s="16">
        <f t="shared" si="2"/>
        <v>30.49</v>
      </c>
      <c r="I17" s="16">
        <f t="shared" si="3"/>
        <v>1403.15</v>
      </c>
    </row>
    <row r="18" spans="1:9" ht="90" x14ac:dyDescent="0.25">
      <c r="A18" s="13" t="s">
        <v>73</v>
      </c>
      <c r="B18" s="35" t="s">
        <v>12</v>
      </c>
      <c r="C18" s="13" t="s">
        <v>125</v>
      </c>
      <c r="D18" s="46" t="s">
        <v>187</v>
      </c>
      <c r="E18" s="15" t="s">
        <v>57</v>
      </c>
      <c r="F18" s="43">
        <v>3</v>
      </c>
      <c r="G18" s="16">
        <v>6.54</v>
      </c>
      <c r="H18" s="16">
        <f t="shared" si="2"/>
        <v>8.08</v>
      </c>
      <c r="I18" s="16">
        <f t="shared" si="3"/>
        <v>24.24</v>
      </c>
    </row>
    <row r="19" spans="1:9" ht="72" x14ac:dyDescent="0.25">
      <c r="A19" s="13" t="s">
        <v>214</v>
      </c>
      <c r="B19" s="35" t="s">
        <v>12</v>
      </c>
      <c r="C19" s="13" t="s">
        <v>145</v>
      </c>
      <c r="D19" s="46" t="s">
        <v>144</v>
      </c>
      <c r="E19" s="15" t="s">
        <v>57</v>
      </c>
      <c r="F19" s="43">
        <v>3</v>
      </c>
      <c r="G19" s="16">
        <v>21.78</v>
      </c>
      <c r="H19" s="16">
        <f t="shared" si="2"/>
        <v>26.9</v>
      </c>
      <c r="I19" s="16">
        <f t="shared" si="3"/>
        <v>80.7</v>
      </c>
    </row>
    <row r="20" spans="1:9" ht="72" x14ac:dyDescent="0.25">
      <c r="A20" s="13" t="s">
        <v>110</v>
      </c>
      <c r="B20" s="35" t="s">
        <v>12</v>
      </c>
      <c r="C20" s="13" t="s">
        <v>146</v>
      </c>
      <c r="D20" s="72" t="s">
        <v>215</v>
      </c>
      <c r="E20" s="15" t="s">
        <v>54</v>
      </c>
      <c r="F20" s="43">
        <v>2.16</v>
      </c>
      <c r="G20" s="16">
        <v>21.08</v>
      </c>
      <c r="H20" s="16">
        <f t="shared" si="2"/>
        <v>26.04</v>
      </c>
      <c r="I20" s="16">
        <f t="shared" si="3"/>
        <v>56.25</v>
      </c>
    </row>
    <row r="21" spans="1:9" ht="18.75" x14ac:dyDescent="0.25">
      <c r="A21" s="17"/>
      <c r="B21" s="17"/>
      <c r="C21" s="13"/>
      <c r="D21" s="47"/>
      <c r="E21" s="19"/>
      <c r="F21" s="43"/>
      <c r="G21" s="20"/>
      <c r="H21" s="20"/>
      <c r="I21" s="21"/>
    </row>
    <row r="22" spans="1:9" s="12" customFormat="1" ht="18" x14ac:dyDescent="0.25">
      <c r="A22" s="9" t="s">
        <v>74</v>
      </c>
      <c r="B22" s="9"/>
      <c r="C22" s="10"/>
      <c r="D22" s="11" t="s">
        <v>147</v>
      </c>
      <c r="E22" s="1"/>
      <c r="F22" s="42"/>
      <c r="G22" s="73" t="s">
        <v>10</v>
      </c>
      <c r="H22" s="74"/>
      <c r="I22" s="29">
        <f>SUM(I23:I25)</f>
        <v>6039.18</v>
      </c>
    </row>
    <row r="23" spans="1:9" ht="54" x14ac:dyDescent="0.25">
      <c r="A23" s="13" t="s">
        <v>75</v>
      </c>
      <c r="B23" s="35" t="s">
        <v>12</v>
      </c>
      <c r="C23" s="13" t="s">
        <v>32</v>
      </c>
      <c r="D23" s="14" t="s">
        <v>126</v>
      </c>
      <c r="E23" s="15" t="s">
        <v>54</v>
      </c>
      <c r="F23" s="43">
        <v>83.3</v>
      </c>
      <c r="G23" s="16">
        <v>9.48</v>
      </c>
      <c r="H23" s="16">
        <f t="shared" ref="H23:H25" si="4">IF(C23=0,"",ROUND(G23+G23*$I$6,2))</f>
        <v>11.71</v>
      </c>
      <c r="I23" s="16">
        <f t="shared" ref="I23:I25" si="5">IF(C23=0,"",ROUND(F23*H23,2))</f>
        <v>975.44</v>
      </c>
    </row>
    <row r="24" spans="1:9" ht="54" x14ac:dyDescent="0.25">
      <c r="A24" s="13" t="s">
        <v>76</v>
      </c>
      <c r="B24" s="35" t="s">
        <v>12</v>
      </c>
      <c r="C24" s="13" t="s">
        <v>33</v>
      </c>
      <c r="D24" s="14" t="s">
        <v>63</v>
      </c>
      <c r="E24" s="15" t="s">
        <v>54</v>
      </c>
      <c r="F24" s="43">
        <v>83.3</v>
      </c>
      <c r="G24" s="16">
        <v>36.29</v>
      </c>
      <c r="H24" s="16">
        <f t="shared" si="4"/>
        <v>44.83</v>
      </c>
      <c r="I24" s="16">
        <f t="shared" si="5"/>
        <v>3734.34</v>
      </c>
    </row>
    <row r="25" spans="1:9" ht="72" x14ac:dyDescent="0.25">
      <c r="A25" s="13" t="s">
        <v>77</v>
      </c>
      <c r="B25" s="35" t="s">
        <v>12</v>
      </c>
      <c r="C25" s="13" t="s">
        <v>34</v>
      </c>
      <c r="D25" s="46" t="s">
        <v>35</v>
      </c>
      <c r="E25" s="15" t="s">
        <v>54</v>
      </c>
      <c r="F25" s="43">
        <v>15.74</v>
      </c>
      <c r="G25" s="16">
        <v>68.37</v>
      </c>
      <c r="H25" s="16">
        <f t="shared" si="4"/>
        <v>84.46</v>
      </c>
      <c r="I25" s="16">
        <f t="shared" si="5"/>
        <v>1329.4</v>
      </c>
    </row>
    <row r="26" spans="1:9" ht="18.75" x14ac:dyDescent="0.25">
      <c r="A26" s="17"/>
      <c r="B26" s="17"/>
      <c r="C26" s="13"/>
      <c r="D26" s="18"/>
      <c r="E26" s="19"/>
      <c r="F26" s="43"/>
      <c r="G26" s="20"/>
      <c r="H26" s="20"/>
      <c r="I26" s="21"/>
    </row>
    <row r="27" spans="1:9" s="12" customFormat="1" ht="18" x14ac:dyDescent="0.25">
      <c r="A27" s="9" t="s">
        <v>78</v>
      </c>
      <c r="B27" s="9"/>
      <c r="C27" s="10"/>
      <c r="D27" s="11" t="s">
        <v>58</v>
      </c>
      <c r="E27" s="1"/>
      <c r="F27" s="42"/>
      <c r="G27" s="73" t="s">
        <v>10</v>
      </c>
      <c r="H27" s="74"/>
      <c r="I27" s="29">
        <f>SUM(I28:I36)</f>
        <v>2898.1499999999996</v>
      </c>
    </row>
    <row r="28" spans="1:9" ht="54" x14ac:dyDescent="0.25">
      <c r="A28" s="13" t="s">
        <v>79</v>
      </c>
      <c r="B28" s="35" t="s">
        <v>12</v>
      </c>
      <c r="C28" s="13" t="s">
        <v>112</v>
      </c>
      <c r="D28" s="46" t="s">
        <v>111</v>
      </c>
      <c r="E28" s="15" t="s">
        <v>57</v>
      </c>
      <c r="F28" s="43">
        <v>1</v>
      </c>
      <c r="G28" s="16">
        <v>60.11</v>
      </c>
      <c r="H28" s="16">
        <f t="shared" ref="H28:H34" si="6">IF(C28=0,"",ROUND(G28+G28*$I$6,2))</f>
        <v>74.25</v>
      </c>
      <c r="I28" s="16">
        <f t="shared" ref="I28:I34" si="7">IF(C28=0,"",ROUND(F28*H28,2))</f>
        <v>74.25</v>
      </c>
    </row>
    <row r="29" spans="1:9" ht="72" x14ac:dyDescent="0.25">
      <c r="A29" s="13" t="s">
        <v>80</v>
      </c>
      <c r="B29" s="35" t="s">
        <v>12</v>
      </c>
      <c r="C29" s="13" t="s">
        <v>127</v>
      </c>
      <c r="D29" s="46" t="s">
        <v>188</v>
      </c>
      <c r="E29" s="15" t="s">
        <v>57</v>
      </c>
      <c r="F29" s="43">
        <v>4</v>
      </c>
      <c r="G29" s="16">
        <v>218.89</v>
      </c>
      <c r="H29" s="16">
        <f t="shared" si="6"/>
        <v>270.39</v>
      </c>
      <c r="I29" s="16">
        <f t="shared" si="7"/>
        <v>1081.56</v>
      </c>
    </row>
    <row r="30" spans="1:9" ht="72" x14ac:dyDescent="0.25">
      <c r="A30" s="13" t="s">
        <v>81</v>
      </c>
      <c r="B30" s="35" t="s">
        <v>12</v>
      </c>
      <c r="C30" s="13" t="s">
        <v>129</v>
      </c>
      <c r="D30" s="46" t="s">
        <v>128</v>
      </c>
      <c r="E30" s="15" t="s">
        <v>57</v>
      </c>
      <c r="F30" s="43">
        <v>2</v>
      </c>
      <c r="G30" s="16">
        <v>167.2</v>
      </c>
      <c r="H30" s="16">
        <f t="shared" si="6"/>
        <v>206.54</v>
      </c>
      <c r="I30" s="16">
        <f t="shared" si="7"/>
        <v>413.08</v>
      </c>
    </row>
    <row r="31" spans="1:9" ht="54" x14ac:dyDescent="0.25">
      <c r="A31" s="13" t="s">
        <v>82</v>
      </c>
      <c r="B31" s="35" t="s">
        <v>12</v>
      </c>
      <c r="C31" s="13" t="s">
        <v>131</v>
      </c>
      <c r="D31" s="46" t="s">
        <v>130</v>
      </c>
      <c r="E31" s="15" t="s">
        <v>57</v>
      </c>
      <c r="F31" s="43">
        <v>2</v>
      </c>
      <c r="G31" s="16">
        <v>180.84</v>
      </c>
      <c r="H31" s="16">
        <f t="shared" si="6"/>
        <v>223.39</v>
      </c>
      <c r="I31" s="16">
        <f t="shared" si="7"/>
        <v>446.78</v>
      </c>
    </row>
    <row r="32" spans="1:9" ht="36" x14ac:dyDescent="0.25">
      <c r="A32" s="13" t="s">
        <v>83</v>
      </c>
      <c r="B32" s="35" t="s">
        <v>12</v>
      </c>
      <c r="C32" s="13" t="s">
        <v>143</v>
      </c>
      <c r="D32" s="46" t="s">
        <v>189</v>
      </c>
      <c r="E32" s="15" t="s">
        <v>57</v>
      </c>
      <c r="F32" s="43">
        <v>3</v>
      </c>
      <c r="G32" s="16">
        <v>47.99</v>
      </c>
      <c r="H32" s="16">
        <f t="shared" si="6"/>
        <v>59.28</v>
      </c>
      <c r="I32" s="16">
        <f t="shared" si="7"/>
        <v>177.84</v>
      </c>
    </row>
    <row r="33" spans="1:9" ht="54" x14ac:dyDescent="0.25">
      <c r="A33" s="13" t="s">
        <v>84</v>
      </c>
      <c r="B33" s="35" t="s">
        <v>12</v>
      </c>
      <c r="C33" s="13" t="s">
        <v>191</v>
      </c>
      <c r="D33" s="46" t="s">
        <v>190</v>
      </c>
      <c r="E33" s="15" t="s">
        <v>57</v>
      </c>
      <c r="F33" s="43">
        <v>1</v>
      </c>
      <c r="G33" s="16">
        <v>165.14</v>
      </c>
      <c r="H33" s="16">
        <f t="shared" si="6"/>
        <v>204</v>
      </c>
      <c r="I33" s="16">
        <f t="shared" si="7"/>
        <v>204</v>
      </c>
    </row>
    <row r="34" spans="1:9" ht="36" x14ac:dyDescent="0.25">
      <c r="A34" s="13" t="s">
        <v>85</v>
      </c>
      <c r="B34" s="35" t="s">
        <v>44</v>
      </c>
      <c r="C34" s="13">
        <v>100849</v>
      </c>
      <c r="D34" s="46" t="s">
        <v>192</v>
      </c>
      <c r="E34" s="15" t="s">
        <v>57</v>
      </c>
      <c r="F34" s="43">
        <v>1</v>
      </c>
      <c r="G34" s="16">
        <v>42.08</v>
      </c>
      <c r="H34" s="16">
        <f t="shared" si="6"/>
        <v>51.98</v>
      </c>
      <c r="I34" s="16">
        <f t="shared" si="7"/>
        <v>51.98</v>
      </c>
    </row>
    <row r="35" spans="1:9" ht="36" x14ac:dyDescent="0.25">
      <c r="A35" s="13" t="s">
        <v>113</v>
      </c>
      <c r="B35" s="35" t="s">
        <v>44</v>
      </c>
      <c r="C35" s="13">
        <v>86883</v>
      </c>
      <c r="D35" s="46" t="s">
        <v>193</v>
      </c>
      <c r="E35" s="15" t="s">
        <v>57</v>
      </c>
      <c r="F35" s="43">
        <v>2</v>
      </c>
      <c r="G35" s="16">
        <v>12.7</v>
      </c>
      <c r="H35" s="16">
        <f t="shared" ref="H35:H36" si="8">IF(C35=0,"",ROUND(G35+G35*$I$6,2))</f>
        <v>15.69</v>
      </c>
      <c r="I35" s="16">
        <f t="shared" ref="I35:I36" si="9">IF(C35=0,"",ROUND(F35*H35,2))</f>
        <v>31.38</v>
      </c>
    </row>
    <row r="36" spans="1:9" ht="36" x14ac:dyDescent="0.25">
      <c r="A36" s="13" t="s">
        <v>216</v>
      </c>
      <c r="B36" s="35" t="s">
        <v>12</v>
      </c>
      <c r="C36" s="13" t="s">
        <v>198</v>
      </c>
      <c r="D36" s="46" t="s">
        <v>197</v>
      </c>
      <c r="E36" s="15" t="s">
        <v>55</v>
      </c>
      <c r="F36" s="43">
        <v>4</v>
      </c>
      <c r="G36" s="16">
        <v>84.45</v>
      </c>
      <c r="H36" s="16">
        <f t="shared" si="8"/>
        <v>104.32</v>
      </c>
      <c r="I36" s="16">
        <f t="shared" si="9"/>
        <v>417.28</v>
      </c>
    </row>
    <row r="37" spans="1:9" ht="18.75" x14ac:dyDescent="0.25">
      <c r="A37" s="17"/>
      <c r="B37" s="17"/>
      <c r="C37" s="13"/>
      <c r="D37" s="18"/>
      <c r="E37" s="19"/>
      <c r="F37" s="43"/>
      <c r="G37" s="20"/>
      <c r="H37" s="20"/>
      <c r="I37" s="21"/>
    </row>
    <row r="38" spans="1:9" s="12" customFormat="1" ht="18" x14ac:dyDescent="0.25">
      <c r="A38" s="9" t="s">
        <v>86</v>
      </c>
      <c r="B38" s="9"/>
      <c r="C38" s="10"/>
      <c r="D38" s="11" t="s">
        <v>40</v>
      </c>
      <c r="E38" s="1"/>
      <c r="F38" s="42"/>
      <c r="G38" s="73" t="s">
        <v>10</v>
      </c>
      <c r="H38" s="74"/>
      <c r="I38" s="29">
        <f>SUM(I39:I39)</f>
        <v>655.12</v>
      </c>
    </row>
    <row r="39" spans="1:9" ht="155.25" customHeight="1" x14ac:dyDescent="0.25">
      <c r="A39" s="13" t="s">
        <v>87</v>
      </c>
      <c r="B39" s="35" t="s">
        <v>12</v>
      </c>
      <c r="C39" s="13" t="s">
        <v>114</v>
      </c>
      <c r="D39" s="46" t="s">
        <v>194</v>
      </c>
      <c r="E39" s="15" t="s">
        <v>57</v>
      </c>
      <c r="F39" s="43">
        <v>2</v>
      </c>
      <c r="G39" s="16">
        <v>265.17</v>
      </c>
      <c r="H39" s="16">
        <f t="shared" ref="H39" si="10">IF(C39=0,"",ROUND(G39+G39*$I$6,2))</f>
        <v>327.56</v>
      </c>
      <c r="I39" s="16">
        <f t="shared" ref="I39" si="11">IF(C39=0,"",ROUND(F39*H39,2))</f>
        <v>655.12</v>
      </c>
    </row>
    <row r="40" spans="1:9" ht="18.75" x14ac:dyDescent="0.25">
      <c r="A40" s="17"/>
      <c r="B40" s="17"/>
      <c r="C40" s="13"/>
      <c r="D40" s="18"/>
      <c r="E40" s="19"/>
      <c r="F40" s="43"/>
      <c r="G40" s="20"/>
      <c r="H40" s="20"/>
      <c r="I40" s="21"/>
    </row>
    <row r="41" spans="1:9" s="12" customFormat="1" ht="18" x14ac:dyDescent="0.25">
      <c r="A41" s="9" t="s">
        <v>88</v>
      </c>
      <c r="B41" s="9"/>
      <c r="C41" s="10"/>
      <c r="D41" s="11" t="s">
        <v>96</v>
      </c>
      <c r="E41" s="1"/>
      <c r="F41" s="42"/>
      <c r="G41" s="73" t="s">
        <v>10</v>
      </c>
      <c r="H41" s="74"/>
      <c r="I41" s="29">
        <f>SUM(I42:I44)</f>
        <v>14986.81</v>
      </c>
    </row>
    <row r="42" spans="1:9" ht="36" x14ac:dyDescent="0.25">
      <c r="A42" s="13" t="s">
        <v>89</v>
      </c>
      <c r="B42" s="35" t="s">
        <v>12</v>
      </c>
      <c r="C42" s="13" t="s">
        <v>14</v>
      </c>
      <c r="D42" s="46" t="s">
        <v>64</v>
      </c>
      <c r="E42" s="15" t="s">
        <v>54</v>
      </c>
      <c r="F42" s="43">
        <v>46.02</v>
      </c>
      <c r="G42" s="16">
        <v>134.96</v>
      </c>
      <c r="H42" s="16">
        <f t="shared" ref="H42:H44" si="12">IF(C42=0,"",ROUND(G42+G42*$I$6,2))</f>
        <v>166.72</v>
      </c>
      <c r="I42" s="16">
        <f t="shared" ref="I42:I44" si="13">IF(C42=0,"",ROUND(F42*H42,2))</f>
        <v>7672.45</v>
      </c>
    </row>
    <row r="43" spans="1:9" ht="51.75" customHeight="1" x14ac:dyDescent="0.25">
      <c r="A43" s="13" t="s">
        <v>90</v>
      </c>
      <c r="B43" s="35" t="s">
        <v>12</v>
      </c>
      <c r="C43" s="13" t="s">
        <v>196</v>
      </c>
      <c r="D43" s="46" t="s">
        <v>195</v>
      </c>
      <c r="E43" s="15" t="s">
        <v>54</v>
      </c>
      <c r="F43" s="43">
        <v>46.02</v>
      </c>
      <c r="G43" s="16">
        <v>115.58</v>
      </c>
      <c r="H43" s="16">
        <f t="shared" si="12"/>
        <v>142.78</v>
      </c>
      <c r="I43" s="16">
        <f t="shared" si="13"/>
        <v>6570.74</v>
      </c>
    </row>
    <row r="44" spans="1:9" ht="36" x14ac:dyDescent="0.25">
      <c r="A44" s="13" t="s">
        <v>91</v>
      </c>
      <c r="B44" s="35" t="s">
        <v>12</v>
      </c>
      <c r="C44" s="13" t="s">
        <v>133</v>
      </c>
      <c r="D44" s="46" t="s">
        <v>132</v>
      </c>
      <c r="E44" s="15" t="s">
        <v>55</v>
      </c>
      <c r="F44" s="43">
        <v>14.4</v>
      </c>
      <c r="G44" s="16">
        <v>41.8</v>
      </c>
      <c r="H44" s="16">
        <f t="shared" si="12"/>
        <v>51.64</v>
      </c>
      <c r="I44" s="16">
        <f t="shared" si="13"/>
        <v>743.62</v>
      </c>
    </row>
    <row r="45" spans="1:9" ht="18.75" x14ac:dyDescent="0.25">
      <c r="A45" s="66"/>
      <c r="B45" s="66"/>
      <c r="C45" s="67"/>
      <c r="D45" s="47"/>
      <c r="E45" s="68"/>
      <c r="F45" s="69"/>
      <c r="G45" s="70"/>
      <c r="H45" s="71"/>
      <c r="I45" s="21"/>
    </row>
    <row r="46" spans="1:9" s="12" customFormat="1" ht="18" x14ac:dyDescent="0.25">
      <c r="A46" s="9" t="s">
        <v>92</v>
      </c>
      <c r="B46" s="9"/>
      <c r="C46" s="10"/>
      <c r="D46" s="11" t="s">
        <v>103</v>
      </c>
      <c r="E46" s="1"/>
      <c r="F46" s="42"/>
      <c r="G46" s="73" t="s">
        <v>10</v>
      </c>
      <c r="H46" s="74"/>
      <c r="I46" s="29">
        <f>SUM(I47:I53)</f>
        <v>8206.5999999999985</v>
      </c>
    </row>
    <row r="47" spans="1:9" ht="18" x14ac:dyDescent="0.25">
      <c r="A47" s="13" t="s">
        <v>93</v>
      </c>
      <c r="B47" s="35" t="s">
        <v>12</v>
      </c>
      <c r="C47" s="13" t="s">
        <v>116</v>
      </c>
      <c r="D47" s="46" t="s">
        <v>115</v>
      </c>
      <c r="E47" s="15" t="s">
        <v>54</v>
      </c>
      <c r="F47" s="43">
        <v>44.28</v>
      </c>
      <c r="G47" s="16">
        <v>5.28</v>
      </c>
      <c r="H47" s="16">
        <f t="shared" ref="H47" si="14">IF(C47=0,"",ROUND(G47+G47*$I$6,2))</f>
        <v>6.52</v>
      </c>
      <c r="I47" s="16">
        <f t="shared" ref="I47" si="15">IF(C47=0,"",ROUND(F47*H47,2))</f>
        <v>288.70999999999998</v>
      </c>
    </row>
    <row r="48" spans="1:9" ht="36" x14ac:dyDescent="0.25">
      <c r="A48" s="13" t="s">
        <v>134</v>
      </c>
      <c r="B48" s="35" t="s">
        <v>12</v>
      </c>
      <c r="C48" s="13" t="s">
        <v>27</v>
      </c>
      <c r="D48" s="46" t="s">
        <v>199</v>
      </c>
      <c r="E48" s="15" t="s">
        <v>54</v>
      </c>
      <c r="F48" s="43">
        <v>50.03</v>
      </c>
      <c r="G48" s="16">
        <v>39.75</v>
      </c>
      <c r="H48" s="16">
        <f t="shared" ref="H48:H52" si="16">IF(C48=0,"",ROUND(G48+G48*$I$6,2))</f>
        <v>49.1</v>
      </c>
      <c r="I48" s="16">
        <f t="shared" ref="I48:I52" si="17">IF(C48=0,"",ROUND(F48*H48,2))</f>
        <v>2456.4699999999998</v>
      </c>
    </row>
    <row r="49" spans="1:9" ht="18" x14ac:dyDescent="0.25">
      <c r="A49" s="13" t="s">
        <v>135</v>
      </c>
      <c r="B49" s="35" t="s">
        <v>12</v>
      </c>
      <c r="C49" s="13" t="s">
        <v>19</v>
      </c>
      <c r="D49" s="46" t="s">
        <v>20</v>
      </c>
      <c r="E49" s="15" t="s">
        <v>54</v>
      </c>
      <c r="F49" s="43">
        <v>36</v>
      </c>
      <c r="G49" s="16">
        <v>4.68</v>
      </c>
      <c r="H49" s="16">
        <f t="shared" si="16"/>
        <v>5.78</v>
      </c>
      <c r="I49" s="16">
        <f t="shared" si="17"/>
        <v>208.08</v>
      </c>
    </row>
    <row r="50" spans="1:9" ht="36" x14ac:dyDescent="0.25">
      <c r="A50" s="13" t="s">
        <v>136</v>
      </c>
      <c r="B50" s="35" t="s">
        <v>12</v>
      </c>
      <c r="C50" s="13" t="s">
        <v>62</v>
      </c>
      <c r="D50" s="46" t="s">
        <v>200</v>
      </c>
      <c r="E50" s="15" t="s">
        <v>54</v>
      </c>
      <c r="F50" s="43">
        <v>36</v>
      </c>
      <c r="G50" s="16">
        <v>22.22</v>
      </c>
      <c r="H50" s="16">
        <f t="shared" si="16"/>
        <v>27.45</v>
      </c>
      <c r="I50" s="16">
        <f t="shared" si="17"/>
        <v>988.2</v>
      </c>
    </row>
    <row r="51" spans="1:9" ht="54" x14ac:dyDescent="0.25">
      <c r="A51" s="13" t="s">
        <v>137</v>
      </c>
      <c r="B51" s="35" t="s">
        <v>44</v>
      </c>
      <c r="C51" s="13">
        <v>91304</v>
      </c>
      <c r="D51" s="46" t="s">
        <v>60</v>
      </c>
      <c r="E51" s="15" t="s">
        <v>57</v>
      </c>
      <c r="F51" s="43">
        <v>1</v>
      </c>
      <c r="G51" s="16">
        <v>105.13</v>
      </c>
      <c r="H51" s="16">
        <f t="shared" si="16"/>
        <v>129.87</v>
      </c>
      <c r="I51" s="16">
        <f t="shared" si="17"/>
        <v>129.87</v>
      </c>
    </row>
    <row r="52" spans="1:9" ht="72" x14ac:dyDescent="0.25">
      <c r="A52" s="13" t="s">
        <v>138</v>
      </c>
      <c r="B52" s="35" t="s">
        <v>12</v>
      </c>
      <c r="C52" s="13" t="s">
        <v>202</v>
      </c>
      <c r="D52" s="46" t="s">
        <v>201</v>
      </c>
      <c r="E52" s="15" t="s">
        <v>57</v>
      </c>
      <c r="F52" s="43">
        <v>1</v>
      </c>
      <c r="G52" s="16">
        <v>1008.91</v>
      </c>
      <c r="H52" s="16">
        <f t="shared" si="16"/>
        <v>1246.31</v>
      </c>
      <c r="I52" s="16">
        <f t="shared" si="17"/>
        <v>1246.31</v>
      </c>
    </row>
    <row r="53" spans="1:9" ht="72" x14ac:dyDescent="0.25">
      <c r="A53" s="13" t="s">
        <v>218</v>
      </c>
      <c r="B53" s="35" t="s">
        <v>12</v>
      </c>
      <c r="C53" s="13" t="s">
        <v>220</v>
      </c>
      <c r="D53" s="46" t="s">
        <v>219</v>
      </c>
      <c r="E53" s="15" t="s">
        <v>55</v>
      </c>
      <c r="F53" s="43">
        <v>4.42</v>
      </c>
      <c r="G53" s="16">
        <v>529.11</v>
      </c>
      <c r="H53" s="16">
        <f t="shared" ref="H53" si="18">IF(C53=0,"",ROUND(G53+G53*$I$6,2))</f>
        <v>653.61</v>
      </c>
      <c r="I53" s="16">
        <f t="shared" ref="I53" si="19">IF(C53=0,"",ROUND(F53*H53,2))</f>
        <v>2888.96</v>
      </c>
    </row>
    <row r="54" spans="1:9" ht="18.75" x14ac:dyDescent="0.25">
      <c r="A54" s="17"/>
      <c r="B54" s="17"/>
      <c r="C54" s="13"/>
      <c r="D54" s="18"/>
      <c r="E54" s="19"/>
      <c r="F54" s="43"/>
      <c r="G54" s="20"/>
      <c r="H54" s="20"/>
      <c r="I54" s="21"/>
    </row>
    <row r="55" spans="1:9" s="12" customFormat="1" ht="18" x14ac:dyDescent="0.25">
      <c r="A55" s="9" t="s">
        <v>97</v>
      </c>
      <c r="B55" s="9"/>
      <c r="C55" s="10"/>
      <c r="D55" s="11" t="s">
        <v>104</v>
      </c>
      <c r="E55" s="1"/>
      <c r="F55" s="42"/>
      <c r="G55" s="73" t="s">
        <v>10</v>
      </c>
      <c r="H55" s="74"/>
      <c r="I55" s="29">
        <f>SUM(I56:I61)</f>
        <v>15264.27</v>
      </c>
    </row>
    <row r="56" spans="1:9" ht="18" x14ac:dyDescent="0.25">
      <c r="A56" s="13" t="s">
        <v>98</v>
      </c>
      <c r="B56" s="35" t="s">
        <v>12</v>
      </c>
      <c r="C56" s="13" t="s">
        <v>17</v>
      </c>
      <c r="D56" s="14" t="s">
        <v>18</v>
      </c>
      <c r="E56" s="15" t="s">
        <v>54</v>
      </c>
      <c r="F56" s="43">
        <v>382.46</v>
      </c>
      <c r="G56" s="16">
        <v>3.09</v>
      </c>
      <c r="H56" s="16">
        <f t="shared" ref="H56:H61" si="20">IF(C56=0,"",ROUND(G56+G56*$I$6,2))</f>
        <v>3.82</v>
      </c>
      <c r="I56" s="16">
        <f t="shared" ref="I56:I61" si="21">IF(C56=0,"",ROUND(F56*H56,2))</f>
        <v>1461</v>
      </c>
    </row>
    <row r="57" spans="1:9" ht="36" x14ac:dyDescent="0.25">
      <c r="A57" s="13" t="s">
        <v>99</v>
      </c>
      <c r="B57" s="35" t="s">
        <v>12</v>
      </c>
      <c r="C57" s="13" t="s">
        <v>23</v>
      </c>
      <c r="D57" s="14" t="s">
        <v>24</v>
      </c>
      <c r="E57" s="15" t="s">
        <v>54</v>
      </c>
      <c r="F57" s="43">
        <v>459.64</v>
      </c>
      <c r="G57" s="16">
        <v>16.77</v>
      </c>
      <c r="H57" s="16">
        <f t="shared" si="20"/>
        <v>20.72</v>
      </c>
      <c r="I57" s="16">
        <f t="shared" si="21"/>
        <v>9523.74</v>
      </c>
    </row>
    <row r="58" spans="1:9" ht="36" x14ac:dyDescent="0.25">
      <c r="A58" s="13" t="s">
        <v>203</v>
      </c>
      <c r="B58" s="35" t="s">
        <v>12</v>
      </c>
      <c r="C58" s="13" t="s">
        <v>28</v>
      </c>
      <c r="D58" s="14" t="s">
        <v>29</v>
      </c>
      <c r="E58" s="15" t="s">
        <v>54</v>
      </c>
      <c r="F58" s="43">
        <v>459.64</v>
      </c>
      <c r="G58" s="16">
        <v>7.04</v>
      </c>
      <c r="H58" s="16">
        <f t="shared" si="20"/>
        <v>8.6999999999999993</v>
      </c>
      <c r="I58" s="16">
        <f t="shared" si="21"/>
        <v>3998.87</v>
      </c>
    </row>
    <row r="59" spans="1:9" ht="18" x14ac:dyDescent="0.25">
      <c r="A59" s="13" t="s">
        <v>204</v>
      </c>
      <c r="B59" s="35" t="s">
        <v>12</v>
      </c>
      <c r="C59" s="13" t="s">
        <v>21</v>
      </c>
      <c r="D59" s="14" t="s">
        <v>22</v>
      </c>
      <c r="E59" s="15" t="s">
        <v>54</v>
      </c>
      <c r="F59" s="43">
        <v>7.38</v>
      </c>
      <c r="G59" s="16">
        <v>3.5</v>
      </c>
      <c r="H59" s="16">
        <f t="shared" si="20"/>
        <v>4.32</v>
      </c>
      <c r="I59" s="16">
        <f t="shared" si="21"/>
        <v>31.88</v>
      </c>
    </row>
    <row r="60" spans="1:9" ht="36" x14ac:dyDescent="0.25">
      <c r="A60" s="13" t="s">
        <v>205</v>
      </c>
      <c r="B60" s="35" t="s">
        <v>12</v>
      </c>
      <c r="C60" s="13" t="s">
        <v>25</v>
      </c>
      <c r="D60" s="14" t="s">
        <v>26</v>
      </c>
      <c r="E60" s="15" t="s">
        <v>54</v>
      </c>
      <c r="F60" s="43">
        <v>7.38</v>
      </c>
      <c r="G60" s="16">
        <v>18.46</v>
      </c>
      <c r="H60" s="16">
        <f t="shared" si="20"/>
        <v>22.8</v>
      </c>
      <c r="I60" s="16">
        <f t="shared" si="21"/>
        <v>168.26</v>
      </c>
    </row>
    <row r="61" spans="1:9" ht="36" x14ac:dyDescent="0.25">
      <c r="A61" s="13" t="s">
        <v>206</v>
      </c>
      <c r="B61" s="35" t="s">
        <v>12</v>
      </c>
      <c r="C61" s="13" t="s">
        <v>30</v>
      </c>
      <c r="D61" s="14" t="s">
        <v>31</v>
      </c>
      <c r="E61" s="15" t="s">
        <v>54</v>
      </c>
      <c r="F61" s="43">
        <v>7.38</v>
      </c>
      <c r="G61" s="16">
        <v>8.83</v>
      </c>
      <c r="H61" s="16">
        <f t="shared" si="20"/>
        <v>10.91</v>
      </c>
      <c r="I61" s="16">
        <f t="shared" si="21"/>
        <v>80.52</v>
      </c>
    </row>
    <row r="62" spans="1:9" ht="18.75" x14ac:dyDescent="0.25">
      <c r="A62" s="17"/>
      <c r="B62" s="17"/>
      <c r="C62" s="13"/>
      <c r="D62" s="18"/>
      <c r="E62" s="19"/>
      <c r="F62" s="43"/>
      <c r="G62" s="20"/>
      <c r="H62" s="20"/>
      <c r="I62" s="21"/>
    </row>
    <row r="63" spans="1:9" s="12" customFormat="1" ht="18" x14ac:dyDescent="0.25">
      <c r="A63" s="9" t="s">
        <v>100</v>
      </c>
      <c r="B63" s="9"/>
      <c r="C63" s="10"/>
      <c r="D63" s="11" t="s">
        <v>207</v>
      </c>
      <c r="E63" s="1"/>
      <c r="F63" s="42"/>
      <c r="G63" s="73" t="s">
        <v>10</v>
      </c>
      <c r="H63" s="74"/>
      <c r="I63" s="29">
        <f>SUM(I64:I65)</f>
        <v>643.62</v>
      </c>
    </row>
    <row r="64" spans="1:9" ht="54" x14ac:dyDescent="0.25">
      <c r="A64" s="17" t="s">
        <v>101</v>
      </c>
      <c r="B64" s="35" t="s">
        <v>12</v>
      </c>
      <c r="C64" s="13" t="s">
        <v>209</v>
      </c>
      <c r="D64" s="48" t="s">
        <v>208</v>
      </c>
      <c r="E64" s="15" t="s">
        <v>54</v>
      </c>
      <c r="F64" s="43">
        <v>0.18</v>
      </c>
      <c r="G64" s="49">
        <v>183.79</v>
      </c>
      <c r="H64" s="16">
        <f t="shared" ref="H64" si="22">IF(C64=0,"",ROUND(G64+G64*$I$6,2))</f>
        <v>227.04</v>
      </c>
      <c r="I64" s="16">
        <f t="shared" ref="I64" si="23">IF(C64=0,"",ROUND(F64*H64,2))</f>
        <v>40.869999999999997</v>
      </c>
    </row>
    <row r="65" spans="1:9" ht="18.75" x14ac:dyDescent="0.25">
      <c r="A65" s="17" t="s">
        <v>102</v>
      </c>
      <c r="B65" s="35" t="s">
        <v>12</v>
      </c>
      <c r="C65" s="13" t="s">
        <v>211</v>
      </c>
      <c r="D65" s="46" t="s">
        <v>210</v>
      </c>
      <c r="E65" s="15" t="s">
        <v>54</v>
      </c>
      <c r="F65" s="43">
        <v>6.45</v>
      </c>
      <c r="G65" s="16">
        <v>75.650000000000006</v>
      </c>
      <c r="H65" s="16">
        <f t="shared" ref="H65" si="24">IF(C65=0,"",ROUND(G65+G65*$I$6,2))</f>
        <v>93.45</v>
      </c>
      <c r="I65" s="16">
        <f t="shared" ref="I65" si="25">IF(C65=0,"",ROUND(F65*H65,2))</f>
        <v>602.75</v>
      </c>
    </row>
    <row r="66" spans="1:9" ht="18.75" x14ac:dyDescent="0.25">
      <c r="A66" s="17"/>
      <c r="B66" s="17"/>
      <c r="C66" s="13"/>
      <c r="D66" s="18"/>
      <c r="E66" s="19"/>
      <c r="F66" s="43"/>
      <c r="G66" s="20"/>
      <c r="H66" s="20"/>
      <c r="I66" s="21"/>
    </row>
    <row r="67" spans="1:9" ht="18.75" x14ac:dyDescent="0.25">
      <c r="A67" s="17"/>
      <c r="B67" s="35"/>
      <c r="C67" s="13"/>
      <c r="D67" s="50"/>
      <c r="E67" s="15"/>
      <c r="F67" s="43"/>
      <c r="G67" s="16"/>
      <c r="H67" s="16"/>
      <c r="I67" s="16"/>
    </row>
    <row r="68" spans="1:9" ht="23.25" x14ac:dyDescent="0.35">
      <c r="A68" s="22"/>
      <c r="B68" s="22"/>
      <c r="C68" s="23"/>
      <c r="D68" s="24" t="s">
        <v>11</v>
      </c>
      <c r="E68" s="25"/>
      <c r="F68" s="44"/>
      <c r="G68" s="26"/>
      <c r="H68" s="26"/>
      <c r="I68" s="26">
        <f>I9+I12+I22+I27+I38+I41+I46+I55+I63</f>
        <v>54279.68</v>
      </c>
    </row>
    <row r="71" spans="1:9" ht="18" x14ac:dyDescent="0.25">
      <c r="D71" s="36"/>
    </row>
    <row r="72" spans="1:9" ht="18" x14ac:dyDescent="0.25">
      <c r="D72" s="37" t="s">
        <v>117</v>
      </c>
      <c r="G72" s="27"/>
    </row>
    <row r="73" spans="1:9" ht="18" x14ac:dyDescent="0.25">
      <c r="D73" s="37" t="s">
        <v>66</v>
      </c>
    </row>
    <row r="74" spans="1:9" ht="18" x14ac:dyDescent="0.25">
      <c r="D74" s="37" t="s">
        <v>108</v>
      </c>
    </row>
    <row r="76" spans="1:9" x14ac:dyDescent="0.25">
      <c r="G76" s="27"/>
    </row>
  </sheetData>
  <mergeCells count="21">
    <mergeCell ref="A5:E5"/>
    <mergeCell ref="F5:F7"/>
    <mergeCell ref="G5:G7"/>
    <mergeCell ref="A6:E6"/>
    <mergeCell ref="H6:H7"/>
    <mergeCell ref="G55:H55"/>
    <mergeCell ref="G63:H63"/>
    <mergeCell ref="A1:I1"/>
    <mergeCell ref="A2:F2"/>
    <mergeCell ref="G2:I2"/>
    <mergeCell ref="A4:E4"/>
    <mergeCell ref="F4:I4"/>
    <mergeCell ref="I6:I7"/>
    <mergeCell ref="A7:E7"/>
    <mergeCell ref="G9:H9"/>
    <mergeCell ref="G12:H12"/>
    <mergeCell ref="G22:H22"/>
    <mergeCell ref="G27:H27"/>
    <mergeCell ref="G38:H38"/>
    <mergeCell ref="G41:H41"/>
    <mergeCell ref="G46:H46"/>
  </mergeCells>
  <phoneticPr fontId="18" type="noConversion"/>
  <dataValidations disablePrompts="1" count="1">
    <dataValidation type="list" allowBlank="1" showInputMessage="1" showErrorMessage="1" sqref="B56:B61 B10 B67 B13:B20 B39 B23:B25 B64:B65 B42:B44 B28:B36 B47:B53" xr:uid="{00000000-0002-0000-0000-000000000000}">
      <formula1>$P$2:$P$5</formula1>
    </dataValidation>
  </dataValidations>
  <pageMargins left="0.25" right="0.25" top="0.75" bottom="0.75" header="0.3" footer="0.3"/>
  <pageSetup paperSize="9" scale="56" fitToHeight="0" orientation="landscape" r:id="rId1"/>
  <headerFooter>
    <oddFooter>&amp;L_x000D_&amp;1#&amp;"Trebuchet MS"&amp;9&amp;K008542 INTERNA</oddFooter>
  </headerFooter>
  <rowBreaks count="2" manualBreakCount="2">
    <brk id="22" max="8" man="1"/>
    <brk id="39" max="8" man="1"/>
  </rowBreaks>
  <drawing r:id="rId2"/>
  <legacyDrawing r:id="rId3"/>
  <oleObjects>
    <mc:AlternateContent xmlns:mc="http://schemas.openxmlformats.org/markup-compatibility/2006">
      <mc:Choice Requires="x14">
        <oleObject shapeId="5121" r:id="rId4">
          <objectPr defaultSize="0" autoPict="0" r:id="rId5">
            <anchor moveWithCells="1" sizeWithCells="1">
              <from>
                <xdr:col>1</xdr:col>
                <xdr:colOff>200025</xdr:colOff>
                <xdr:row>0</xdr:row>
                <xdr:rowOff>38100</xdr:rowOff>
              </from>
              <to>
                <xdr:col>2</xdr:col>
                <xdr:colOff>323850</xdr:colOff>
                <xdr:row>0</xdr:row>
                <xdr:rowOff>895350</xdr:rowOff>
              </to>
            </anchor>
          </objectPr>
        </oleObject>
      </mc:Choice>
      <mc:Fallback>
        <oleObject shapeId="512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E2EE-909C-41DD-8E24-292754BC53C7}">
  <sheetPr>
    <pageSetUpPr fitToPage="1"/>
  </sheetPr>
  <dimension ref="A2:L42"/>
  <sheetViews>
    <sheetView showGridLines="0" view="pageBreakPreview" zoomScaleNormal="100" zoomScaleSheetLayoutView="100" workbookViewId="0">
      <selection activeCell="C7" sqref="C7"/>
    </sheetView>
  </sheetViews>
  <sheetFormatPr defaultColWidth="9.140625" defaultRowHeight="15" x14ac:dyDescent="0.25"/>
  <cols>
    <col min="1" max="1" width="13.42578125" bestFit="1" customWidth="1"/>
    <col min="2" max="2" width="17" customWidth="1"/>
    <col min="3" max="3" width="68" customWidth="1"/>
    <col min="4" max="4" width="9.5703125" customWidth="1"/>
    <col min="5" max="5" width="9.7109375" customWidth="1"/>
    <col min="6" max="6" width="11.140625" customWidth="1"/>
    <col min="7" max="7" width="12.85546875" bestFit="1" customWidth="1"/>
  </cols>
  <sheetData>
    <row r="2" spans="1:12" ht="31.5" x14ac:dyDescent="0.5">
      <c r="A2" s="92" t="s">
        <v>48</v>
      </c>
      <c r="B2" s="92"/>
      <c r="C2" s="92"/>
      <c r="D2" s="92"/>
      <c r="E2" s="92"/>
      <c r="F2" s="92"/>
      <c r="G2" s="92"/>
    </row>
    <row r="3" spans="1:12" ht="31.5" x14ac:dyDescent="0.5">
      <c r="C3" s="30"/>
      <c r="L3" t="s">
        <v>12</v>
      </c>
    </row>
    <row r="4" spans="1:12" x14ac:dyDescent="0.25">
      <c r="A4" s="93" t="s">
        <v>139</v>
      </c>
      <c r="B4" s="93"/>
      <c r="C4" s="93"/>
      <c r="D4" s="93"/>
      <c r="E4" s="93"/>
      <c r="F4" s="93"/>
      <c r="G4" s="93"/>
      <c r="L4" t="s">
        <v>44</v>
      </c>
    </row>
    <row r="5" spans="1:12" x14ac:dyDescent="0.25">
      <c r="A5" s="94" t="s">
        <v>140</v>
      </c>
      <c r="B5" s="94"/>
      <c r="C5" s="94"/>
      <c r="D5" s="94"/>
      <c r="E5" s="94"/>
      <c r="F5" s="94"/>
      <c r="G5" s="94"/>
      <c r="L5" t="s">
        <v>45</v>
      </c>
    </row>
    <row r="7" spans="1:12" x14ac:dyDescent="0.25">
      <c r="A7" s="31" t="s">
        <v>41</v>
      </c>
      <c r="B7" s="31" t="s">
        <v>0</v>
      </c>
      <c r="C7" s="31" t="s">
        <v>42</v>
      </c>
      <c r="D7" s="31" t="s">
        <v>1</v>
      </c>
      <c r="E7" s="31" t="s">
        <v>49</v>
      </c>
      <c r="F7" s="31" t="s">
        <v>50</v>
      </c>
      <c r="G7" s="31" t="s">
        <v>53</v>
      </c>
    </row>
    <row r="8" spans="1:12" ht="75" x14ac:dyDescent="0.25">
      <c r="A8" s="32" t="s">
        <v>51</v>
      </c>
      <c r="B8" s="32" t="s">
        <v>52</v>
      </c>
      <c r="C8" s="33" t="s">
        <v>141</v>
      </c>
      <c r="D8" s="32" t="s">
        <v>2</v>
      </c>
      <c r="E8" s="34">
        <v>1</v>
      </c>
      <c r="F8" s="32"/>
      <c r="G8" s="38">
        <f>SUM(G9:G17)</f>
        <v>367.24</v>
      </c>
    </row>
    <row r="9" spans="1:12" x14ac:dyDescent="0.25">
      <c r="A9" s="51" t="s">
        <v>12</v>
      </c>
      <c r="B9" s="51" t="s">
        <v>149</v>
      </c>
      <c r="C9" s="52" t="s">
        <v>150</v>
      </c>
      <c r="D9" s="53" t="s">
        <v>148</v>
      </c>
      <c r="E9" s="54">
        <v>0.05</v>
      </c>
      <c r="F9" s="54">
        <v>22.9</v>
      </c>
      <c r="G9" s="55">
        <f t="shared" ref="G9:G17" si="0">ROUND(E9*F9,2)</f>
        <v>1.1499999999999999</v>
      </c>
    </row>
    <row r="10" spans="1:12" ht="30" x14ac:dyDescent="0.25">
      <c r="A10" s="51" t="s">
        <v>12</v>
      </c>
      <c r="B10" s="51" t="s">
        <v>151</v>
      </c>
      <c r="C10" s="52" t="s">
        <v>152</v>
      </c>
      <c r="D10" s="53" t="s">
        <v>55</v>
      </c>
      <c r="E10" s="54">
        <v>0.84</v>
      </c>
      <c r="F10" s="54">
        <v>0.1502</v>
      </c>
      <c r="G10" s="55">
        <f t="shared" si="0"/>
        <v>0.13</v>
      </c>
    </row>
    <row r="11" spans="1:12" ht="45.75" customHeight="1" x14ac:dyDescent="0.25">
      <c r="A11" s="51" t="s">
        <v>12</v>
      </c>
      <c r="B11" s="51" t="s">
        <v>154</v>
      </c>
      <c r="C11" s="61" t="s">
        <v>153</v>
      </c>
      <c r="D11" s="53" t="s">
        <v>57</v>
      </c>
      <c r="E11" s="54">
        <v>1</v>
      </c>
      <c r="F11" s="54">
        <v>213.71250000000001</v>
      </c>
      <c r="G11" s="55">
        <f t="shared" si="0"/>
        <v>213.71</v>
      </c>
    </row>
    <row r="12" spans="1:12" ht="30" x14ac:dyDescent="0.25">
      <c r="A12" s="51" t="s">
        <v>12</v>
      </c>
      <c r="B12" s="51" t="s">
        <v>155</v>
      </c>
      <c r="C12" s="61" t="s">
        <v>156</v>
      </c>
      <c r="D12" s="53" t="s">
        <v>57</v>
      </c>
      <c r="E12" s="54">
        <v>1</v>
      </c>
      <c r="F12" s="54">
        <v>29.92</v>
      </c>
      <c r="G12" s="55">
        <f t="shared" si="0"/>
        <v>29.92</v>
      </c>
    </row>
    <row r="13" spans="1:12" ht="30" x14ac:dyDescent="0.25">
      <c r="A13" s="51" t="s">
        <v>12</v>
      </c>
      <c r="B13" s="51" t="s">
        <v>158</v>
      </c>
      <c r="C13" s="61" t="s">
        <v>157</v>
      </c>
      <c r="D13" s="53" t="s">
        <v>57</v>
      </c>
      <c r="E13" s="54">
        <v>2</v>
      </c>
      <c r="F13" s="54">
        <v>4.8</v>
      </c>
      <c r="G13" s="55">
        <f t="shared" si="0"/>
        <v>9.6</v>
      </c>
    </row>
    <row r="14" spans="1:12" ht="30" x14ac:dyDescent="0.25">
      <c r="A14" s="51" t="s">
        <v>12</v>
      </c>
      <c r="B14" s="51" t="s">
        <v>160</v>
      </c>
      <c r="C14" s="61" t="s">
        <v>159</v>
      </c>
      <c r="D14" s="53" t="s">
        <v>148</v>
      </c>
      <c r="E14" s="54">
        <v>5.2658299999999998E-2</v>
      </c>
      <c r="F14" s="54">
        <v>3.4369000000000001</v>
      </c>
      <c r="G14" s="55">
        <f t="shared" si="0"/>
        <v>0.18</v>
      </c>
    </row>
    <row r="15" spans="1:12" ht="30" x14ac:dyDescent="0.25">
      <c r="A15" s="51" t="s">
        <v>12</v>
      </c>
      <c r="B15" s="51" t="s">
        <v>162</v>
      </c>
      <c r="C15" s="61" t="s">
        <v>161</v>
      </c>
      <c r="D15" s="53" t="s">
        <v>59</v>
      </c>
      <c r="E15" s="54">
        <v>1.4280504999999999</v>
      </c>
      <c r="F15" s="54">
        <v>22</v>
      </c>
      <c r="G15" s="55">
        <f t="shared" si="0"/>
        <v>31.42</v>
      </c>
    </row>
    <row r="16" spans="1:12" x14ac:dyDescent="0.25">
      <c r="A16" s="51" t="s">
        <v>12</v>
      </c>
      <c r="B16" s="51" t="s">
        <v>164</v>
      </c>
      <c r="C16" s="61" t="s">
        <v>163</v>
      </c>
      <c r="D16" s="53" t="s">
        <v>59</v>
      </c>
      <c r="E16" s="54">
        <v>3.86161E-2</v>
      </c>
      <c r="F16" s="54">
        <v>20.420000000000002</v>
      </c>
      <c r="G16" s="55">
        <f t="shared" si="0"/>
        <v>0.79</v>
      </c>
    </row>
    <row r="17" spans="1:7" x14ac:dyDescent="0.25">
      <c r="A17" s="51" t="s">
        <v>12</v>
      </c>
      <c r="B17" s="51" t="s">
        <v>166</v>
      </c>
      <c r="C17" s="61" t="s">
        <v>165</v>
      </c>
      <c r="D17" s="53" t="s">
        <v>59</v>
      </c>
      <c r="E17" s="54">
        <v>2.9333333000000001</v>
      </c>
      <c r="F17" s="54">
        <v>27.39</v>
      </c>
      <c r="G17" s="55">
        <f t="shared" si="0"/>
        <v>80.34</v>
      </c>
    </row>
    <row r="18" spans="1:7" x14ac:dyDescent="0.25">
      <c r="B18" s="62"/>
      <c r="C18" s="63"/>
      <c r="D18" s="57"/>
      <c r="E18" s="64"/>
      <c r="F18" s="64"/>
      <c r="G18" s="65"/>
    </row>
    <row r="19" spans="1:7" x14ac:dyDescent="0.25">
      <c r="B19" s="62"/>
      <c r="C19" s="63"/>
      <c r="D19" s="57"/>
      <c r="E19" s="64"/>
      <c r="F19" s="64"/>
      <c r="G19" s="65"/>
    </row>
    <row r="20" spans="1:7" x14ac:dyDescent="0.25">
      <c r="B20" s="62"/>
      <c r="C20" s="63"/>
      <c r="D20" s="57"/>
      <c r="E20" s="64"/>
      <c r="F20" s="64"/>
      <c r="G20" s="65"/>
    </row>
    <row r="21" spans="1:7" ht="60" x14ac:dyDescent="0.25">
      <c r="A21" s="32" t="s">
        <v>51</v>
      </c>
      <c r="B21" s="32" t="s">
        <v>106</v>
      </c>
      <c r="C21" s="33" t="s">
        <v>142</v>
      </c>
      <c r="D21" s="32" t="s">
        <v>2</v>
      </c>
      <c r="E21" s="34">
        <v>1</v>
      </c>
      <c r="F21" s="32"/>
      <c r="G21" s="38">
        <f>SUM(G22:G27)</f>
        <v>114.46000000000001</v>
      </c>
    </row>
    <row r="22" spans="1:7" ht="30" x14ac:dyDescent="0.25">
      <c r="A22" s="51" t="s">
        <v>12</v>
      </c>
      <c r="B22" s="51" t="s">
        <v>168</v>
      </c>
      <c r="C22" s="52" t="s">
        <v>167</v>
      </c>
      <c r="D22" s="53" t="s">
        <v>57</v>
      </c>
      <c r="E22" s="54">
        <v>1</v>
      </c>
      <c r="F22" s="54">
        <v>7.03</v>
      </c>
      <c r="G22" s="55">
        <f t="shared" ref="G22:G25" si="1">ROUND(E22*F22,2)</f>
        <v>7.03</v>
      </c>
    </row>
    <row r="23" spans="1:7" ht="30" x14ac:dyDescent="0.25">
      <c r="A23" s="51" t="s">
        <v>12</v>
      </c>
      <c r="B23" s="51" t="s">
        <v>160</v>
      </c>
      <c r="C23" s="52" t="s">
        <v>159</v>
      </c>
      <c r="D23" s="53" t="s">
        <v>148</v>
      </c>
      <c r="E23" s="54">
        <v>0.13876720000000001</v>
      </c>
      <c r="F23" s="54">
        <v>3.4369000000000001</v>
      </c>
      <c r="G23" s="55">
        <f t="shared" si="1"/>
        <v>0.48</v>
      </c>
    </row>
    <row r="24" spans="1:7" ht="30" x14ac:dyDescent="0.25">
      <c r="A24" s="51" t="s">
        <v>12</v>
      </c>
      <c r="B24" s="51" t="s">
        <v>170</v>
      </c>
      <c r="C24" s="52" t="s">
        <v>169</v>
      </c>
      <c r="D24" s="53" t="s">
        <v>57</v>
      </c>
      <c r="E24" s="54">
        <v>2</v>
      </c>
      <c r="F24" s="54">
        <v>1.5651999999999999</v>
      </c>
      <c r="G24" s="55">
        <f t="shared" si="1"/>
        <v>3.13</v>
      </c>
    </row>
    <row r="25" spans="1:7" ht="30" x14ac:dyDescent="0.25">
      <c r="A25" s="51" t="s">
        <v>12</v>
      </c>
      <c r="B25" s="51" t="s">
        <v>162</v>
      </c>
      <c r="C25" s="52" t="s">
        <v>161</v>
      </c>
      <c r="D25" s="53" t="s">
        <v>59</v>
      </c>
      <c r="E25" s="54">
        <v>1.2222222</v>
      </c>
      <c r="F25" s="54">
        <v>22</v>
      </c>
      <c r="G25" s="55">
        <f t="shared" si="1"/>
        <v>26.89</v>
      </c>
    </row>
    <row r="26" spans="1:7" x14ac:dyDescent="0.25">
      <c r="A26" s="51" t="s">
        <v>12</v>
      </c>
      <c r="B26" s="51" t="s">
        <v>164</v>
      </c>
      <c r="C26" s="52" t="s">
        <v>163</v>
      </c>
      <c r="D26" s="53" t="s">
        <v>59</v>
      </c>
      <c r="E26" s="54">
        <v>0.48888880000000001</v>
      </c>
      <c r="F26" s="54">
        <v>20.420000000000002</v>
      </c>
      <c r="G26" s="55">
        <f t="shared" ref="G26:G27" si="2">ROUND(E26*F26,2)</f>
        <v>9.98</v>
      </c>
    </row>
    <row r="27" spans="1:7" x14ac:dyDescent="0.25">
      <c r="A27" s="51" t="s">
        <v>12</v>
      </c>
      <c r="B27" s="51" t="s">
        <v>166</v>
      </c>
      <c r="C27" s="52" t="s">
        <v>165</v>
      </c>
      <c r="D27" s="53" t="s">
        <v>59</v>
      </c>
      <c r="E27" s="54">
        <v>2.4444444000000001</v>
      </c>
      <c r="F27" s="54">
        <v>27.39</v>
      </c>
      <c r="G27" s="55">
        <f t="shared" si="2"/>
        <v>66.95</v>
      </c>
    </row>
    <row r="28" spans="1:7" x14ac:dyDescent="0.25">
      <c r="A28" s="56"/>
      <c r="B28" s="56"/>
      <c r="C28" s="60"/>
      <c r="D28" s="57"/>
      <c r="E28" s="58"/>
      <c r="F28" s="58"/>
      <c r="G28" s="59"/>
    </row>
    <row r="29" spans="1:7" x14ac:dyDescent="0.25">
      <c r="A29" s="56"/>
      <c r="B29" s="56"/>
      <c r="C29" s="60"/>
      <c r="D29" s="57"/>
      <c r="E29" s="58"/>
      <c r="F29" s="58"/>
      <c r="G29" s="59"/>
    </row>
    <row r="30" spans="1:7" x14ac:dyDescent="0.25">
      <c r="A30" s="56"/>
      <c r="B30" s="56"/>
      <c r="C30" s="60"/>
      <c r="D30" s="57"/>
      <c r="E30" s="58"/>
      <c r="F30" s="58"/>
      <c r="G30" s="59"/>
    </row>
    <row r="31" spans="1:7" ht="45" x14ac:dyDescent="0.25">
      <c r="A31" s="32" t="s">
        <v>51</v>
      </c>
      <c r="B31" s="32" t="s">
        <v>171</v>
      </c>
      <c r="C31" s="33" t="s">
        <v>172</v>
      </c>
      <c r="D31" s="32" t="s">
        <v>2</v>
      </c>
      <c r="E31" s="34">
        <v>1</v>
      </c>
      <c r="F31" s="32"/>
      <c r="G31" s="38">
        <f>SUM(G32:G36)</f>
        <v>60.05</v>
      </c>
    </row>
    <row r="32" spans="1:7" ht="45" x14ac:dyDescent="0.25">
      <c r="A32" s="51" t="s">
        <v>12</v>
      </c>
      <c r="B32" s="51" t="s">
        <v>176</v>
      </c>
      <c r="C32" s="52" t="s">
        <v>175</v>
      </c>
      <c r="D32" s="53" t="s">
        <v>57</v>
      </c>
      <c r="E32" s="54">
        <v>1.07</v>
      </c>
      <c r="F32" s="54">
        <v>1.42</v>
      </c>
      <c r="G32" s="55">
        <f t="shared" ref="G32:G36" si="3">ROUND(E32*F32,2)</f>
        <v>1.52</v>
      </c>
    </row>
    <row r="33" spans="1:7" ht="30" x14ac:dyDescent="0.25">
      <c r="A33" s="51" t="s">
        <v>12</v>
      </c>
      <c r="B33" s="51" t="s">
        <v>173</v>
      </c>
      <c r="C33" s="52" t="s">
        <v>177</v>
      </c>
      <c r="D33" s="53" t="s">
        <v>57</v>
      </c>
      <c r="E33" s="54">
        <v>1.42</v>
      </c>
      <c r="F33" s="54">
        <v>0.37</v>
      </c>
      <c r="G33" s="55">
        <f t="shared" si="3"/>
        <v>0.53</v>
      </c>
    </row>
    <row r="34" spans="1:7" x14ac:dyDescent="0.25">
      <c r="A34" s="51" t="s">
        <v>45</v>
      </c>
      <c r="B34" s="51" t="s">
        <v>174</v>
      </c>
      <c r="C34" s="52" t="s">
        <v>182</v>
      </c>
      <c r="D34" s="53" t="s">
        <v>54</v>
      </c>
      <c r="E34" s="54">
        <v>1</v>
      </c>
      <c r="F34" s="54">
        <f>AVERAGE(89.17/(2.3*0.86),75.19/(2.42*0.88),119.9/(2.3*0.86))</f>
        <v>47.001591447824389</v>
      </c>
      <c r="G34" s="55">
        <f t="shared" si="3"/>
        <v>47</v>
      </c>
    </row>
    <row r="35" spans="1:7" x14ac:dyDescent="0.25">
      <c r="A35" s="51" t="s">
        <v>12</v>
      </c>
      <c r="B35" s="51" t="s">
        <v>179</v>
      </c>
      <c r="C35" s="52" t="s">
        <v>178</v>
      </c>
      <c r="D35" s="53" t="s">
        <v>59</v>
      </c>
      <c r="E35" s="54">
        <v>0.22</v>
      </c>
      <c r="F35" s="54">
        <v>22.49</v>
      </c>
      <c r="G35" s="55">
        <f t="shared" si="3"/>
        <v>4.95</v>
      </c>
    </row>
    <row r="36" spans="1:7" x14ac:dyDescent="0.25">
      <c r="A36" s="51" t="s">
        <v>12</v>
      </c>
      <c r="B36" s="51" t="s">
        <v>180</v>
      </c>
      <c r="C36" s="52" t="s">
        <v>181</v>
      </c>
      <c r="D36" s="53" t="s">
        <v>59</v>
      </c>
      <c r="E36" s="54">
        <v>0.22</v>
      </c>
      <c r="F36" s="54">
        <v>27.5</v>
      </c>
      <c r="G36" s="55">
        <f t="shared" si="3"/>
        <v>6.05</v>
      </c>
    </row>
    <row r="37" spans="1:7" x14ac:dyDescent="0.25">
      <c r="A37" s="56"/>
      <c r="B37" s="56"/>
      <c r="C37" s="60"/>
      <c r="D37" s="57"/>
      <c r="E37" s="58"/>
      <c r="F37" s="58"/>
      <c r="G37" s="59"/>
    </row>
    <row r="38" spans="1:7" x14ac:dyDescent="0.25">
      <c r="A38" s="56"/>
      <c r="B38" s="56"/>
      <c r="C38" s="60"/>
      <c r="D38" s="57"/>
      <c r="E38" s="58"/>
      <c r="F38" s="58"/>
      <c r="G38" s="59"/>
    </row>
    <row r="39" spans="1:7" x14ac:dyDescent="0.25">
      <c r="C39" s="39"/>
    </row>
    <row r="40" spans="1:7" x14ac:dyDescent="0.25">
      <c r="C40" s="40" t="s">
        <v>107</v>
      </c>
    </row>
    <row r="41" spans="1:7" x14ac:dyDescent="0.25">
      <c r="C41" s="40" t="s">
        <v>66</v>
      </c>
    </row>
    <row r="42" spans="1:7" x14ac:dyDescent="0.25">
      <c r="C42" s="40" t="s">
        <v>108</v>
      </c>
    </row>
  </sheetData>
  <mergeCells count="3">
    <mergeCell ref="A2:G2"/>
    <mergeCell ref="A4:G4"/>
    <mergeCell ref="A5:G5"/>
  </mergeCells>
  <dataValidations disablePrompts="1" count="1">
    <dataValidation type="list" allowBlank="1" showInputMessage="1" showErrorMessage="1" sqref="A9:A20 A22:A30 A32:A38" xr:uid="{DD2D7867-A6AD-4D5A-950F-1DBE10E3F2A9}">
      <formula1>$L$3:$L$5</formula1>
    </dataValidation>
  </dataValidations>
  <pageMargins left="0.511811024" right="0.511811024" top="0.78740157499999996" bottom="0.78740157499999996" header="0.31496062000000002" footer="0.31496062000000002"/>
  <pageSetup paperSize="9" scale="49" orientation="portrait" horizontalDpi="300" verticalDpi="300" r:id="rId1"/>
  <headerFooter>
    <oddFooter>&amp;L_x000D_&amp;1#&amp;"Trebuchet MS"&amp;9&amp;K008542 INTERNA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CBD3-C9E0-4F54-A4C7-ECB897F0C8B8}">
  <dimension ref="D4:Z34"/>
  <sheetViews>
    <sheetView workbookViewId="0">
      <selection activeCell="E31" sqref="E31"/>
    </sheetView>
  </sheetViews>
  <sheetFormatPr defaultRowHeight="15" x14ac:dyDescent="0.25"/>
  <sheetData>
    <row r="4" spans="4:26" x14ac:dyDescent="0.25">
      <c r="K4">
        <f>(2.02+0.78+1.64+0.65)*5*5.61/6</f>
        <v>23.795750000000002</v>
      </c>
    </row>
    <row r="5" spans="4:26" x14ac:dyDescent="0.25">
      <c r="M5">
        <f>8.55*3*4.9/6</f>
        <v>20.947500000000002</v>
      </c>
      <c r="S5">
        <f>96.13 + 49.96 + 23.79 + 20.96</f>
        <v>190.84</v>
      </c>
    </row>
    <row r="6" spans="4:26" x14ac:dyDescent="0.25">
      <c r="O6">
        <f>(8.35+15.65+8.35+0.9+0.9)*3.4+(8.35+8.35)*1.3*0.5-(1.1*2.1+1.5*1+1.5*1+1.5*1+1.5*1+1.5*1+1.5*1+0.6*0.3+0.6*0.3+1.5*1+0.8*2.1+0.6*0.3+0.6*0.3)</f>
        <v>111.755</v>
      </c>
    </row>
    <row r="7" spans="4:26" x14ac:dyDescent="0.25">
      <c r="H7">
        <f>(2.02+0.78+1.64)*5*5.61/6</f>
        <v>20.756999999999998</v>
      </c>
    </row>
    <row r="8" spans="4:26" x14ac:dyDescent="0.25">
      <c r="J8">
        <f>(10*3.13+4*9.3)*8.42/6</f>
        <v>96.12833333333333</v>
      </c>
      <c r="Q8">
        <f>4.54 + 6.53 + 2.93</f>
        <v>14</v>
      </c>
    </row>
    <row r="9" spans="4:26" x14ac:dyDescent="0.25">
      <c r="F9">
        <f>20.76 + 7.4</f>
        <v>28.160000000000004</v>
      </c>
      <c r="M9">
        <f>3.13*9.3</f>
        <v>29.109000000000002</v>
      </c>
    </row>
    <row r="10" spans="4:26" x14ac:dyDescent="0.25">
      <c r="U10">
        <f>(0.9+0.9)*3</f>
        <v>5.4</v>
      </c>
      <c r="W10">
        <f>1.15*2.55</f>
        <v>2.9324999999999997</v>
      </c>
    </row>
    <row r="11" spans="4:26" x14ac:dyDescent="0.25">
      <c r="J11">
        <f>55.32 + 54 + 55.06 + 82.57 + 111.76 + 20.76</f>
        <v>379.46999999999997</v>
      </c>
      <c r="S11">
        <f>1.5*1*2*3+1.5*1*2*2</f>
        <v>15</v>
      </c>
      <c r="Z11">
        <f>(1.45*6+0.9*10)*0.395</f>
        <v>6.9915000000000003</v>
      </c>
    </row>
    <row r="12" spans="4:26" x14ac:dyDescent="0.25">
      <c r="D12">
        <f>(2.02+1.59+0.53+0.63)*5*5.61/6</f>
        <v>22.299750000000003</v>
      </c>
      <c r="L12">
        <f>96.13 + 49.96 + 20.76 + 20.96</f>
        <v>187.81</v>
      </c>
      <c r="O12">
        <f>(2.25*2+1.15*2)*3-2.1*0.6-0.6*0.3</f>
        <v>18.959999999999997</v>
      </c>
      <c r="Q12">
        <f>96.13 + 49.96 + 23.79 + 20.96 + 7.48</f>
        <v>198.32</v>
      </c>
    </row>
    <row r="14" spans="4:26" x14ac:dyDescent="0.25">
      <c r="I14">
        <f>(2.02+0.78+1.64+65)*5*5.61/6</f>
        <v>324.63200000000001</v>
      </c>
      <c r="S14">
        <f>(1.45*6+0.9*10)*3.95</f>
        <v>69.915000000000006</v>
      </c>
    </row>
    <row r="15" spans="4:26" x14ac:dyDescent="0.25">
      <c r="J15">
        <f>1.68 + 1.68 + 1.68 + 1.26 + 1.37</f>
        <v>7.67</v>
      </c>
      <c r="M15">
        <f>4.31 + 7.5 + 8.7 + 12.15 + 3.6 + 1.5 + 4.17</f>
        <v>41.93</v>
      </c>
    </row>
    <row r="16" spans="4:26" x14ac:dyDescent="0.25">
      <c r="Q16">
        <f>2.25*3*2+1.15*1.8+2.25*1+0.6*1-0.6*0.3-2.1*0</f>
        <v>18.240000000000002</v>
      </c>
      <c r="U16">
        <f>(2.55*2+1.15*2)*3-(0.6*0.3+2.1*0.6)</f>
        <v>20.759999999999998</v>
      </c>
    </row>
    <row r="17" spans="4:24" x14ac:dyDescent="0.25">
      <c r="G17">
        <f>2.7 + 1.45 + 2</f>
        <v>6.15</v>
      </c>
      <c r="O17">
        <f>1.15*2.55</f>
        <v>2.9324999999999997</v>
      </c>
    </row>
    <row r="18" spans="4:24" x14ac:dyDescent="0.25">
      <c r="D18">
        <f>96.13 + 49.96 + 22.29 + 20.96 + 7.48</f>
        <v>196.82</v>
      </c>
      <c r="L18">
        <f>(0.5*0.4*0.4)*4</f>
        <v>0.32000000000000006</v>
      </c>
    </row>
    <row r="19" spans="4:24" x14ac:dyDescent="0.25">
      <c r="N19">
        <f>16*0.4*0.4*0.5</f>
        <v>1.2800000000000002</v>
      </c>
    </row>
    <row r="20" spans="4:24" x14ac:dyDescent="0.25">
      <c r="J20">
        <f>1.95*3-0.65*2.1-0.6*0.3</f>
        <v>4.3049999999999997</v>
      </c>
      <c r="S20">
        <f>3.25*2*1</f>
        <v>6.5</v>
      </c>
    </row>
    <row r="21" spans="4:24" x14ac:dyDescent="0.25">
      <c r="F21">
        <f>0.65*5*13.8/6</f>
        <v>7.4750000000000005</v>
      </c>
      <c r="O21">
        <f>9.29 + 18.44 + 2.79 + 18.24 + 8.52</f>
        <v>57.28</v>
      </c>
      <c r="X21">
        <f>(0.6+2.1+0.6)*2</f>
        <v>6.6000000000000005</v>
      </c>
    </row>
    <row r="23" spans="4:24" x14ac:dyDescent="0.25">
      <c r="J23">
        <f>(2.26+2.35)*3-0.8*2.1-1.5*1</f>
        <v>10.649999999999999</v>
      </c>
      <c r="M23">
        <f>(0.3+0.3+0.03+0.3)*3</f>
        <v>2.79</v>
      </c>
      <c r="Q23">
        <f>9.29 + 18.44 + 2.79 + 18.42 + 8.52</f>
        <v>57.459999999999994</v>
      </c>
    </row>
    <row r="24" spans="4:24" x14ac:dyDescent="0.25">
      <c r="V24">
        <f>0.9*1.45</f>
        <v>1.3049999999999999</v>
      </c>
    </row>
    <row r="25" spans="4:24" x14ac:dyDescent="0.25">
      <c r="E25">
        <f>2.02 + 1.59  + 0.53 + 0.63</f>
        <v>4.7700000000000005</v>
      </c>
      <c r="G25">
        <f>9.29 + 18.44 + 2.79 + 18.24 + 8.52</f>
        <v>57.28</v>
      </c>
      <c r="N25">
        <f>5.31 + 18.44 + 2.79</f>
        <v>26.54</v>
      </c>
      <c r="T25">
        <f>18.96 + 6.5</f>
        <v>25.46</v>
      </c>
    </row>
    <row r="26" spans="4:24" x14ac:dyDescent="0.25">
      <c r="J26">
        <f>3.96*3-0.8*2.1-1.5*1</f>
        <v>8.6999999999999993</v>
      </c>
      <c r="L26">
        <f>0.6*0.3</f>
        <v>0.18</v>
      </c>
      <c r="P26">
        <f>15 + 15 + 8.2 + 0.36 + 3.72 + 0.36 + 0.36 + 4.62 + 0.36 + 2.8</f>
        <v>50.779999999999994</v>
      </c>
    </row>
    <row r="27" spans="4:24" x14ac:dyDescent="0.25">
      <c r="Q27">
        <f>1.45*3-0.6*0.3+0.6*2.1</f>
        <v>5.43</v>
      </c>
    </row>
    <row r="28" spans="4:24" x14ac:dyDescent="0.25">
      <c r="F28">
        <f>1.15*2+2.55*2</f>
        <v>7.3999999999999995</v>
      </c>
      <c r="K28">
        <f>1.45*0.9*0.1</f>
        <v>0.1305</v>
      </c>
      <c r="W28">
        <f>(0.15*0.15*2.83)*2+(0.15*0.15*1.15)*2</f>
        <v>0.17909999999999998</v>
      </c>
    </row>
    <row r="30" spans="4:24" x14ac:dyDescent="0.25">
      <c r="E30">
        <f>6.6*1.1*0.1</f>
        <v>0.72599999999999998</v>
      </c>
      <c r="H30">
        <f>(0.15*0.15*3)*4</f>
        <v>0.27</v>
      </c>
      <c r="L30">
        <f>15 + 15 + 8.2 + 0.36 + 3.72 + 0.36 + 0.36 + 4.62 + 0.36</f>
        <v>47.98</v>
      </c>
      <c r="V30">
        <f>(1.5+1)*2</f>
        <v>5</v>
      </c>
    </row>
    <row r="31" spans="4:24" x14ac:dyDescent="0.25">
      <c r="J31">
        <f>2.25*3+1.15*1.8+2.25*1+0.6*1</f>
        <v>11.67</v>
      </c>
      <c r="M31">
        <f>2.25*3*2+1.15*1.8+2.25*1+0.6*1</f>
        <v>18.420000000000002</v>
      </c>
      <c r="Q31">
        <f>4.31 + 7.5 + 8.7 + 12.15 + 3.6 + 1.5 + 5.43</f>
        <v>43.19</v>
      </c>
      <c r="T31">
        <f>55.32 + 54 + 55.06 + 82.57 + 105.65 + 20.76</f>
        <v>373.36</v>
      </c>
    </row>
    <row r="34" spans="8:16" x14ac:dyDescent="0.25">
      <c r="H34">
        <f>0.96 + 0.32</f>
        <v>1.28</v>
      </c>
      <c r="J34">
        <f>1.45*3*2-0.6*0.3</f>
        <v>8.52</v>
      </c>
      <c r="L34">
        <f>2.78 + 2.78 + 5.56 + 2.24 + 2.78 + 2.24 + 2.24 + 2.24</f>
        <v>22.860000000000007</v>
      </c>
      <c r="P34">
        <f>96.13 + 49.96</f>
        <v>146.09</v>
      </c>
    </row>
  </sheetData>
  <pageMargins left="0.511811024" right="0.511811024" top="0.78740157499999996" bottom="0.78740157499999996" header="0.31496062000000002" footer="0.31496062000000002"/>
  <headerFooter>
    <oddFooter>&amp;L_x000D_&amp;1#&amp;"Trebuchet MS"&amp;9&amp;K008542 INTERNA</oddFooter>
  </headerFooter>
</worksheet>
</file>

<file path=docMetadata/LabelInfo.xml><?xml version="1.0" encoding="utf-8"?>
<clbl:labelList xmlns:clbl="http://schemas.microsoft.com/office/2020/mipLabelMetadata">
  <clbl:label id="{cdac03a7-e156-4c4b-b35d-d580a54520fa}" enabled="1" method="Privileged" siteId="{5b6f6241-9a57-4be4-8e50-1dfa72e79a5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ORÇAMENTO COMPLETO</vt:lpstr>
      <vt:lpstr>COMPOSIÇÕES</vt:lpstr>
      <vt:lpstr>Planilha1</vt:lpstr>
      <vt:lpstr>'ORÇAMENTO COMPLETO'!Area_de_impressao</vt:lpstr>
      <vt:lpstr>'ORÇAMENTO COMPLETO'!Titulos_de_impressao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Vivêncio Sathler</dc:creator>
  <cp:lastModifiedBy>MAQ02</cp:lastModifiedBy>
  <cp:lastPrinted>2025-08-03T22:10:06Z</cp:lastPrinted>
  <dcterms:created xsi:type="dcterms:W3CDTF">2017-08-15T18:29:29Z</dcterms:created>
  <dcterms:modified xsi:type="dcterms:W3CDTF">2025-08-13T22:55:45Z</dcterms:modified>
</cp:coreProperties>
</file>